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H:\Charlene\Auto License and Recording Stats\2020 Auto Lic and Recording Stats\"/>
    </mc:Choice>
  </mc:AlternateContent>
  <xr:revisionPtr revIDLastSave="0" documentId="13_ncr:1_{BA591276-F832-41EA-9427-06651E00CD33}" xr6:coauthVersionLast="44" xr6:coauthVersionMax="44" xr10:uidLastSave="{00000000-0000-0000-0000-000000000000}"/>
  <bookViews>
    <workbookView xWindow="-120" yWindow="-120" windowWidth="24240" windowHeight="17640" xr2:uid="{00000000-000D-0000-FFFF-FFFF00000000}"/>
  </bookViews>
  <sheets>
    <sheet name="Multiples" sheetId="56457" r:id="rId1"/>
    <sheet name="Doc excl. Marriage" sheetId="1" r:id="rId2"/>
    <sheet name="Marriage" sheetId="36" r:id="rId3"/>
    <sheet name="all pages" sheetId="56456" r:id="rId4"/>
    <sheet name="avg. pages" sheetId="32" r:id="rId5"/>
    <sheet name="old stats" sheetId="111" state="hidden" r:id="rId6"/>
    <sheet name="total Doc - rev" sheetId="109" state="hidden" r:id="rId7"/>
    <sheet name="REV" sheetId="56458" state="hidden" r:id="rId8"/>
    <sheet name="Sheet1" sheetId="56459" state="hidden" r:id="rId9"/>
  </sheets>
  <definedNames>
    <definedName name="_1__123Graph_AChart_10A" hidden="1">'old stats'!$B$354:$F$354</definedName>
    <definedName name="_10__123Graph_AChart_6A" hidden="1">'old stats'!$B$242:$M$242</definedName>
    <definedName name="_11__123Graph_AChart_7A" hidden="1">'old stats'!$B$291:$M$291</definedName>
    <definedName name="_12__123Graph_AChart_8A" hidden="1">'old stats'!$B$324:$F$324</definedName>
    <definedName name="_13__123Graph_AChart_9A" hidden="1">'old stats'!$B$113:$M$113</definedName>
    <definedName name="_14__123Graph_BChart_12B" hidden="1">'Doc excl. Marriage'!$B$50:$M$50</definedName>
    <definedName name="_15__123Graph_BChart_13C" hidden="1">Marriage!#REF!</definedName>
    <definedName name="_16__123Graph_BChart_1A" hidden="1">'old stats'!$B$58:$F$58</definedName>
    <definedName name="_17__123Graph_BChart_2A" hidden="1">'old stats'!$Q$74:$AB$74</definedName>
    <definedName name="_18__123Graph_BChart_3A" hidden="1">'old stats'!$B$115:$M$115</definedName>
    <definedName name="_19__123Graph_BChart_4A" hidden="1">'old stats'!$B$162:$E$162</definedName>
    <definedName name="_2__123Graph_AChart_11A" hidden="1">'old stats'!$B$392:$L$392</definedName>
    <definedName name="_20__123Graph_BChart_5A" hidden="1">'old stats'!$B$203:$M$203</definedName>
    <definedName name="_21__123Graph_BChart_6A" hidden="1">'old stats'!$B$248:$M$248</definedName>
    <definedName name="_22__123Graph_BChart_7A" hidden="1">'old stats'!$B$297:$M$297</definedName>
    <definedName name="_23__123Graph_BChart_8A" hidden="1">'old stats'!$B$325:$F$325</definedName>
    <definedName name="_24__123Graph_BChart_9A" hidden="1">'old stats'!$B$116:$M$116</definedName>
    <definedName name="_25__123Graph_CChart_12B" hidden="1">'Doc excl. Marriage'!$B$49:$M$49</definedName>
    <definedName name="_26__123Graph_CChart_13C" hidden="1">Marriage!$B$47:$M$47</definedName>
    <definedName name="_27__123Graph_CChart_3A" hidden="1">'old stats'!$B$117:$M$117</definedName>
    <definedName name="_28__123Graph_CChart_9A" hidden="1">'old stats'!$O$117:$Z$117</definedName>
    <definedName name="_29__123Graph_DChart_3A" hidden="1">'old stats'!$B$118:$M$118</definedName>
    <definedName name="_3__123Graph_AChart_12B" hidden="1">'Doc excl. Marriage'!$B$56:$M$56</definedName>
    <definedName name="_30__123Graph_XChart_10A" hidden="1">'old stats'!$B$351:$F$351</definedName>
    <definedName name="_31__123Graph_XChart_11A" hidden="1">'old stats'!$B$389:$L$389</definedName>
    <definedName name="_32__123Graph_XChart_1A" hidden="1">'old stats'!$B$56:$F$56</definedName>
    <definedName name="_33__123Graph_XChart_2A" hidden="1">'old stats'!$B$110:$M$110</definedName>
    <definedName name="_34__123Graph_XChart_3A" hidden="1">'old stats'!$B$110:$M$110</definedName>
    <definedName name="_35__123Graph_XChart_4A" hidden="1">'old stats'!$B$147:$E$147</definedName>
    <definedName name="_36__123Graph_XChart_5A" hidden="1">'old stats'!$B$191:$M$191</definedName>
    <definedName name="_37__123Graph_XChart_6A" hidden="1">'old stats'!$B$238:$M$238</definedName>
    <definedName name="_38__123Graph_XChart_7A" hidden="1">'old stats'!$B$286:$M$286</definedName>
    <definedName name="_39__123Graph_XChart_8A" hidden="1">'old stats'!$B$323:$F$323</definedName>
    <definedName name="_4__123Graph_AChart_13C" hidden="1">Marriage!#REF!</definedName>
    <definedName name="_40__123Graph_XChart_9A" hidden="1">'old stats'!$B$110:$M$110</definedName>
    <definedName name="_5__123Graph_AChart_1A" hidden="1">'old stats'!$B$57:$F$57</definedName>
    <definedName name="_6__123Graph_AChart_2A" hidden="1">'old stats'!$Q$70:$AB$70</definedName>
    <definedName name="_7__123Graph_AChart_3A" hidden="1">'old stats'!$B$112:$M$112</definedName>
    <definedName name="_8__123Graph_AChart_4A" hidden="1">'old stats'!$B$150:$E$150</definedName>
    <definedName name="_9__123Graph_AChart_5A" hidden="1">'old stats'!$B$197:$M$197</definedName>
    <definedName name="_xlnm.Print_Area" localSheetId="1">'Doc excl. Marriage'!$A$1:$N$136</definedName>
    <definedName name="_xlnm.Print_Area" localSheetId="2">Marriage!$A$1:$N$128</definedName>
    <definedName name="_xlnm.Print_Area" localSheetId="0">Multiples!$A$1:$N$84</definedName>
    <definedName name="_xlnm.Print_Area">Marriage!$A$1:$N$93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4" i="32" l="1"/>
  <c r="I51" i="32"/>
  <c r="I28" i="32"/>
  <c r="I88" i="56456"/>
  <c r="H88" i="56456"/>
  <c r="I64" i="56456"/>
  <c r="I115" i="36"/>
  <c r="I98" i="36"/>
  <c r="I74" i="36"/>
  <c r="I50" i="36"/>
  <c r="I119" i="1"/>
  <c r="I72" i="1"/>
  <c r="I28" i="1"/>
  <c r="I67" i="56457"/>
  <c r="I47" i="56457"/>
  <c r="H74" i="32" l="1"/>
  <c r="H51" i="32"/>
  <c r="H28" i="32"/>
  <c r="H64" i="56456"/>
  <c r="H115" i="36"/>
  <c r="H98" i="36"/>
  <c r="H74" i="36"/>
  <c r="H50" i="36"/>
  <c r="H119" i="1"/>
  <c r="H72" i="1"/>
  <c r="H28" i="1"/>
  <c r="H67" i="56457"/>
  <c r="H47" i="56457"/>
  <c r="G74" i="32" l="1"/>
  <c r="G51" i="32"/>
  <c r="G28" i="32"/>
  <c r="G88" i="56456"/>
  <c r="G64" i="56456"/>
  <c r="G115" i="36"/>
  <c r="G98" i="36"/>
  <c r="G74" i="36"/>
  <c r="G50" i="36"/>
  <c r="G119" i="1"/>
  <c r="G102" i="1"/>
  <c r="G72" i="1"/>
  <c r="G28" i="1"/>
  <c r="G67" i="56457"/>
  <c r="G47" i="56457"/>
  <c r="F74" i="32" l="1"/>
  <c r="F51" i="32"/>
  <c r="F28" i="32"/>
  <c r="F88" i="56456"/>
  <c r="F64" i="56456"/>
  <c r="F115" i="36"/>
  <c r="F98" i="36"/>
  <c r="F74" i="36"/>
  <c r="F50" i="36"/>
  <c r="F119" i="1"/>
  <c r="F102" i="1"/>
  <c r="F72" i="1"/>
  <c r="F28" i="1"/>
  <c r="F67" i="56457"/>
  <c r="F47" i="56457"/>
  <c r="E74" i="32" l="1"/>
  <c r="E51" i="32"/>
  <c r="E28" i="32"/>
  <c r="E88" i="56456"/>
  <c r="E64" i="56456"/>
  <c r="E115" i="36"/>
  <c r="E98" i="36"/>
  <c r="E74" i="36"/>
  <c r="E50" i="36"/>
  <c r="E119" i="1"/>
  <c r="E102" i="1"/>
  <c r="E72" i="1"/>
  <c r="E28" i="1"/>
  <c r="E67" i="56457"/>
  <c r="E47" i="56457"/>
  <c r="D51" i="32" l="1"/>
  <c r="D98" i="36"/>
  <c r="D74" i="36"/>
  <c r="D28" i="1"/>
  <c r="D28" i="32" s="1"/>
  <c r="D74" i="32" l="1"/>
  <c r="C51" i="32"/>
  <c r="C74" i="32" s="1"/>
  <c r="C98" i="36"/>
  <c r="C74" i="36"/>
  <c r="C28" i="1"/>
  <c r="C28" i="32" s="1"/>
  <c r="B51" i="32" l="1"/>
  <c r="B52" i="32"/>
  <c r="B53" i="32"/>
  <c r="N51" i="32"/>
  <c r="B64" i="56456"/>
  <c r="C64" i="56456" s="1"/>
  <c r="B65" i="56456"/>
  <c r="N29" i="56456"/>
  <c r="B115" i="36"/>
  <c r="B98" i="36"/>
  <c r="B74" i="36"/>
  <c r="B50" i="36"/>
  <c r="C50" i="36" s="1"/>
  <c r="B51" i="36"/>
  <c r="N26" i="36"/>
  <c r="B28" i="1"/>
  <c r="B88" i="56456"/>
  <c r="B47" i="56457"/>
  <c r="C47" i="56457" s="1"/>
  <c r="N27" i="56457"/>
  <c r="D64" i="56456" l="1"/>
  <c r="N28" i="1"/>
  <c r="D50" i="36"/>
  <c r="D47" i="56457"/>
  <c r="B72" i="1"/>
  <c r="B28" i="32"/>
  <c r="M52" i="32"/>
  <c r="M99" i="36"/>
  <c r="M75" i="36"/>
  <c r="M29" i="1"/>
  <c r="M29" i="32" l="1"/>
  <c r="M75" i="32" s="1"/>
  <c r="N28" i="32"/>
  <c r="B74" i="32"/>
  <c r="N74" i="32" s="1"/>
  <c r="C72" i="1"/>
  <c r="L52" i="32"/>
  <c r="L99" i="36"/>
  <c r="L75" i="36"/>
  <c r="L29" i="1"/>
  <c r="L29" i="32" l="1"/>
  <c r="L75" i="32" s="1"/>
  <c r="D72" i="1"/>
  <c r="K52" i="32"/>
  <c r="K99" i="36"/>
  <c r="K75" i="36"/>
  <c r="K29" i="1"/>
  <c r="K29" i="32" s="1"/>
  <c r="K75" i="32" l="1"/>
  <c r="J52" i="32"/>
  <c r="J99" i="36"/>
  <c r="J75" i="36"/>
  <c r="J29" i="1"/>
  <c r="J29" i="32" s="1"/>
  <c r="J75" i="32" l="1"/>
  <c r="I52" i="32"/>
  <c r="I99" i="36"/>
  <c r="I75" i="36"/>
  <c r="I29" i="1"/>
  <c r="I29" i="32" l="1"/>
  <c r="I75" i="32"/>
  <c r="H52" i="32"/>
  <c r="H99" i="36"/>
  <c r="H75" i="36"/>
  <c r="H29" i="1"/>
  <c r="H29" i="32" l="1"/>
  <c r="H75" i="32"/>
  <c r="G52" i="32"/>
  <c r="G99" i="36"/>
  <c r="G75" i="36"/>
  <c r="G29" i="1"/>
  <c r="G29" i="32" s="1"/>
  <c r="G75" i="32" l="1"/>
  <c r="F52" i="32"/>
  <c r="F99" i="36"/>
  <c r="F75" i="36"/>
  <c r="F29" i="1"/>
  <c r="F29" i="32" l="1"/>
  <c r="F75" i="32"/>
  <c r="E52" i="32"/>
  <c r="E99" i="36"/>
  <c r="E75" i="36"/>
  <c r="E29" i="1"/>
  <c r="E29" i="32" s="1"/>
  <c r="E75" i="32" l="1"/>
  <c r="D52" i="32"/>
  <c r="D99" i="36"/>
  <c r="D75" i="36"/>
  <c r="D29" i="1"/>
  <c r="D102" i="1" s="1"/>
  <c r="D29" i="32" l="1"/>
  <c r="D75" i="32"/>
  <c r="C52" i="32"/>
  <c r="C65" i="56456"/>
  <c r="C88" i="56456" s="1"/>
  <c r="C99" i="36"/>
  <c r="C75" i="36"/>
  <c r="C51" i="36"/>
  <c r="C29" i="1"/>
  <c r="C102" i="1" s="1"/>
  <c r="D51" i="36" l="1"/>
  <c r="D115" i="36" s="1"/>
  <c r="C115" i="36"/>
  <c r="C29" i="32"/>
  <c r="C75" i="32" s="1"/>
  <c r="D65" i="56456"/>
  <c r="D88" i="56456" s="1"/>
  <c r="E51" i="36"/>
  <c r="N52" i="32"/>
  <c r="N30" i="56456"/>
  <c r="B99" i="36"/>
  <c r="N27" i="36"/>
  <c r="B75" i="36"/>
  <c r="B29" i="1"/>
  <c r="N28" i="56457"/>
  <c r="B48" i="56457"/>
  <c r="B67" i="56457" s="1"/>
  <c r="E65" i="56456" l="1"/>
  <c r="B73" i="1"/>
  <c r="B29" i="32"/>
  <c r="N29" i="32" s="1"/>
  <c r="B102" i="1"/>
  <c r="N29" i="1"/>
  <c r="F65" i="56456"/>
  <c r="F51" i="36"/>
  <c r="C48" i="56457"/>
  <c r="C67" i="56457" s="1"/>
  <c r="M53" i="32"/>
  <c r="M100" i="36"/>
  <c r="M76" i="36"/>
  <c r="M30" i="1"/>
  <c r="M103" i="1" s="1"/>
  <c r="B119" i="1" l="1"/>
  <c r="C73" i="1"/>
  <c r="M30" i="32"/>
  <c r="M76" i="32" s="1"/>
  <c r="B75" i="32"/>
  <c r="N75" i="32" s="1"/>
  <c r="G65" i="56456"/>
  <c r="G51" i="36"/>
  <c r="D48" i="56457"/>
  <c r="D67" i="56457" s="1"/>
  <c r="L53" i="32"/>
  <c r="L100" i="36"/>
  <c r="L76" i="36"/>
  <c r="L30" i="1"/>
  <c r="L103" i="1" s="1"/>
  <c r="C119" i="1" l="1"/>
  <c r="D73" i="1"/>
  <c r="L30" i="32"/>
  <c r="L76" i="32" s="1"/>
  <c r="H65" i="56456"/>
  <c r="H51" i="36"/>
  <c r="E48" i="56457"/>
  <c r="K53" i="32"/>
  <c r="K100" i="36"/>
  <c r="K76" i="36"/>
  <c r="K30" i="1"/>
  <c r="K103" i="1" s="1"/>
  <c r="K30" i="32" l="1"/>
  <c r="D119" i="1"/>
  <c r="E73" i="1"/>
  <c r="F73" i="1" s="1"/>
  <c r="G73" i="1" s="1"/>
  <c r="H73" i="1" s="1"/>
  <c r="I65" i="56456"/>
  <c r="K76" i="32"/>
  <c r="I51" i="36"/>
  <c r="I73" i="1"/>
  <c r="F48" i="56457"/>
  <c r="J53" i="32"/>
  <c r="J100" i="36"/>
  <c r="J76" i="36"/>
  <c r="J30" i="1"/>
  <c r="J103" i="1" s="1"/>
  <c r="J30" i="32" l="1"/>
  <c r="J65" i="56456"/>
  <c r="J76" i="32"/>
  <c r="J51" i="36"/>
  <c r="J73" i="1"/>
  <c r="G48" i="56457"/>
  <c r="I53" i="32"/>
  <c r="I100" i="36"/>
  <c r="I76" i="36"/>
  <c r="I30" i="1"/>
  <c r="I103" i="1" s="1"/>
  <c r="I30" i="32" l="1"/>
  <c r="K65" i="56456"/>
  <c r="I76" i="32"/>
  <c r="K51" i="36"/>
  <c r="K73" i="1"/>
  <c r="H48" i="56457"/>
  <c r="H53" i="32"/>
  <c r="H30" i="32"/>
  <c r="H100" i="36"/>
  <c r="H76" i="36"/>
  <c r="H30" i="1"/>
  <c r="H103" i="1" s="1"/>
  <c r="H76" i="32" l="1"/>
  <c r="L65" i="56456"/>
  <c r="L51" i="36"/>
  <c r="L73" i="1"/>
  <c r="I48" i="56457"/>
  <c r="G53" i="32"/>
  <c r="G100" i="36"/>
  <c r="G76" i="36"/>
  <c r="G30" i="1"/>
  <c r="G103" i="1" s="1"/>
  <c r="G30" i="32" l="1"/>
  <c r="M65" i="56456"/>
  <c r="M51" i="36"/>
  <c r="M73" i="1"/>
  <c r="J48" i="56457"/>
  <c r="G76" i="32"/>
  <c r="F53" i="32"/>
  <c r="F100" i="36"/>
  <c r="F76" i="36"/>
  <c r="F30" i="1"/>
  <c r="F103" i="1" s="1"/>
  <c r="F30" i="32" l="1"/>
  <c r="K48" i="56457"/>
  <c r="F76" i="32"/>
  <c r="E53" i="32"/>
  <c r="E100" i="36"/>
  <c r="E76" i="36"/>
  <c r="E30" i="1"/>
  <c r="E103" i="1" s="1"/>
  <c r="E30" i="32" l="1"/>
  <c r="L48" i="56457"/>
  <c r="E76" i="32"/>
  <c r="D53" i="32"/>
  <c r="D100" i="36"/>
  <c r="D76" i="36"/>
  <c r="D30" i="1"/>
  <c r="D103" i="1" s="1"/>
  <c r="D30" i="32" l="1"/>
  <c r="M48" i="56457"/>
  <c r="D76" i="32"/>
  <c r="C53" i="32"/>
  <c r="N28" i="36"/>
  <c r="C100" i="36"/>
  <c r="C76" i="36"/>
  <c r="C30" i="1"/>
  <c r="C103" i="1" s="1"/>
  <c r="C30" i="32" l="1"/>
  <c r="C76" i="32" s="1"/>
  <c r="N31" i="56456"/>
  <c r="B66" i="56456"/>
  <c r="B100" i="36"/>
  <c r="B76" i="36"/>
  <c r="B52" i="36"/>
  <c r="N30" i="1"/>
  <c r="B30" i="1"/>
  <c r="B49" i="56457"/>
  <c r="N29" i="56457"/>
  <c r="B74" i="1" l="1"/>
  <c r="B103" i="1"/>
  <c r="B30" i="32"/>
  <c r="N30" i="32" s="1"/>
  <c r="B104" i="1"/>
  <c r="C66" i="56456"/>
  <c r="C89" i="56456" s="1"/>
  <c r="B89" i="56456"/>
  <c r="C52" i="36"/>
  <c r="C116" i="36" s="1"/>
  <c r="B116" i="36"/>
  <c r="C74" i="1"/>
  <c r="C120" i="1" s="1"/>
  <c r="B120" i="1"/>
  <c r="C49" i="56457"/>
  <c r="C68" i="56457" s="1"/>
  <c r="B68" i="56457"/>
  <c r="N53" i="32"/>
  <c r="N76" i="32" s="1"/>
  <c r="D74" i="1"/>
  <c r="D120" i="1" s="1"/>
  <c r="M31" i="32"/>
  <c r="M101" i="36"/>
  <c r="M77" i="36"/>
  <c r="L77" i="36"/>
  <c r="M105" i="1"/>
  <c r="M31" i="1"/>
  <c r="M104" i="1" s="1"/>
  <c r="D52" i="36" l="1"/>
  <c r="D116" i="36" s="1"/>
  <c r="D66" i="56456"/>
  <c r="D89" i="56456" s="1"/>
  <c r="B76" i="32"/>
  <c r="D49" i="56457"/>
  <c r="D68" i="56457" s="1"/>
  <c r="E52" i="36"/>
  <c r="E116" i="36" s="1"/>
  <c r="E74" i="1"/>
  <c r="E120" i="1" s="1"/>
  <c r="L101" i="36"/>
  <c r="J77" i="36"/>
  <c r="L31" i="1"/>
  <c r="L104" i="1" s="1"/>
  <c r="L105" i="1" l="1"/>
  <c r="E49" i="56457"/>
  <c r="E68" i="56457" s="1"/>
  <c r="E66" i="56456"/>
  <c r="E89" i="56456" s="1"/>
  <c r="F52" i="36"/>
  <c r="F116" i="36" s="1"/>
  <c r="F74" i="1"/>
  <c r="F120" i="1" s="1"/>
  <c r="F49" i="56457"/>
  <c r="F68" i="56457" s="1"/>
  <c r="K101" i="36"/>
  <c r="K77" i="36"/>
  <c r="K31" i="1"/>
  <c r="K104" i="1" s="1"/>
  <c r="K105" i="1" l="1"/>
  <c r="F66" i="56456"/>
  <c r="F89" i="56456" s="1"/>
  <c r="G52" i="36"/>
  <c r="G116" i="36" s="1"/>
  <c r="G74" i="1"/>
  <c r="G120" i="1" s="1"/>
  <c r="G49" i="56457"/>
  <c r="G68" i="56457" s="1"/>
  <c r="K31" i="32"/>
  <c r="J101" i="36"/>
  <c r="I101" i="36"/>
  <c r="J31" i="1"/>
  <c r="J104" i="1" s="1"/>
  <c r="J105" i="1" l="1"/>
  <c r="G66" i="56456"/>
  <c r="G89" i="56456" s="1"/>
  <c r="H52" i="36"/>
  <c r="H116" i="36" s="1"/>
  <c r="H74" i="1"/>
  <c r="H120" i="1" s="1"/>
  <c r="H49" i="56457"/>
  <c r="H68" i="56457" s="1"/>
  <c r="J31" i="32"/>
  <c r="I77" i="36"/>
  <c r="I105" i="1"/>
  <c r="I31" i="1"/>
  <c r="I104" i="1" s="1"/>
  <c r="H66" i="56456" l="1"/>
  <c r="H89" i="56456" s="1"/>
  <c r="I52" i="36"/>
  <c r="I116" i="36" s="1"/>
  <c r="I74" i="1"/>
  <c r="I120" i="1" s="1"/>
  <c r="I49" i="56457"/>
  <c r="I68" i="56457" s="1"/>
  <c r="M54" i="32"/>
  <c r="M77" i="32" s="1"/>
  <c r="L54" i="32"/>
  <c r="K54" i="32"/>
  <c r="K77" i="32" s="1"/>
  <c r="J54" i="32"/>
  <c r="J77" i="32" s="1"/>
  <c r="I54" i="32"/>
  <c r="L31" i="32"/>
  <c r="I31" i="32"/>
  <c r="H54" i="32"/>
  <c r="H101" i="36"/>
  <c r="H77" i="36"/>
  <c r="H105" i="1"/>
  <c r="H31" i="1"/>
  <c r="H104" i="1" s="1"/>
  <c r="H31" i="32" l="1"/>
  <c r="I66" i="56456"/>
  <c r="I89" i="56456" s="1"/>
  <c r="J52" i="36"/>
  <c r="J116" i="36" s="1"/>
  <c r="J74" i="1"/>
  <c r="J120" i="1" s="1"/>
  <c r="J49" i="56457"/>
  <c r="J68" i="56457" s="1"/>
  <c r="I77" i="32"/>
  <c r="L77" i="32"/>
  <c r="H77" i="32"/>
  <c r="G54" i="32"/>
  <c r="G101" i="36"/>
  <c r="G77" i="36"/>
  <c r="G31" i="1"/>
  <c r="G104" i="1" s="1"/>
  <c r="G31" i="32" l="1"/>
  <c r="G105" i="1"/>
  <c r="J66" i="56456"/>
  <c r="J89" i="56456" s="1"/>
  <c r="K52" i="36"/>
  <c r="K116" i="36" s="1"/>
  <c r="K74" i="1"/>
  <c r="K120" i="1" s="1"/>
  <c r="K49" i="56457"/>
  <c r="K68" i="56457" s="1"/>
  <c r="G77" i="32"/>
  <c r="F54" i="32"/>
  <c r="E54" i="32"/>
  <c r="D54" i="32"/>
  <c r="C54" i="32"/>
  <c r="F101" i="36"/>
  <c r="F77" i="36"/>
  <c r="F31" i="1"/>
  <c r="E31" i="1"/>
  <c r="E104" i="1" s="1"/>
  <c r="F104" i="1" l="1"/>
  <c r="F31" i="32"/>
  <c r="F77" i="32"/>
  <c r="F105" i="1"/>
  <c r="K66" i="56456"/>
  <c r="K89" i="56456" s="1"/>
  <c r="L52" i="36"/>
  <c r="L116" i="36" s="1"/>
  <c r="L74" i="1"/>
  <c r="L120" i="1" s="1"/>
  <c r="L49" i="56457"/>
  <c r="L68" i="56457" s="1"/>
  <c r="E31" i="32"/>
  <c r="E77" i="32" s="1"/>
  <c r="E101" i="36"/>
  <c r="D101" i="36"/>
  <c r="E77" i="36"/>
  <c r="E105" i="1"/>
  <c r="L66" i="56456" l="1"/>
  <c r="L89" i="56456" s="1"/>
  <c r="M66" i="56456"/>
  <c r="M89" i="56456" s="1"/>
  <c r="M52" i="36"/>
  <c r="M116" i="36" s="1"/>
  <c r="M74" i="1"/>
  <c r="M120" i="1" s="1"/>
  <c r="M49" i="56457"/>
  <c r="M68" i="56457" s="1"/>
  <c r="D31" i="32"/>
  <c r="D77" i="32" s="1"/>
  <c r="D77" i="36"/>
  <c r="D105" i="1"/>
  <c r="D31" i="1"/>
  <c r="D104" i="1" s="1"/>
  <c r="C31" i="32" l="1"/>
  <c r="C77" i="32" s="1"/>
  <c r="B31" i="32"/>
  <c r="C101" i="36"/>
  <c r="C77" i="36"/>
  <c r="B78" i="36"/>
  <c r="C31" i="1"/>
  <c r="C104" i="1" s="1"/>
  <c r="C105" i="1" l="1"/>
  <c r="N31" i="32"/>
  <c r="B54" i="32"/>
  <c r="B77" i="32" s="1"/>
  <c r="N32" i="56456"/>
  <c r="B67" i="56456"/>
  <c r="B101" i="36"/>
  <c r="B77" i="36"/>
  <c r="B53" i="36"/>
  <c r="N29" i="36"/>
  <c r="B105" i="1"/>
  <c r="B75" i="1"/>
  <c r="N31" i="1"/>
  <c r="N35" i="56457"/>
  <c r="B55" i="56457"/>
  <c r="C55" i="56457" s="1"/>
  <c r="D55" i="56457" s="1"/>
  <c r="E55" i="56457" s="1"/>
  <c r="F55" i="56457" s="1"/>
  <c r="G55" i="56457" s="1"/>
  <c r="H55" i="56457" s="1"/>
  <c r="I55" i="56457" s="1"/>
  <c r="J55" i="56457" s="1"/>
  <c r="K55" i="56457" s="1"/>
  <c r="L55" i="56457" s="1"/>
  <c r="M55" i="56457" s="1"/>
  <c r="B50" i="56457"/>
  <c r="N30" i="56457"/>
  <c r="C67" i="56456" l="1"/>
  <c r="C90" i="56456" s="1"/>
  <c r="B90" i="56456"/>
  <c r="C53" i="36"/>
  <c r="C117" i="36" s="1"/>
  <c r="B117" i="36"/>
  <c r="C75" i="1"/>
  <c r="C121" i="1" s="1"/>
  <c r="B121" i="1"/>
  <c r="C50" i="56457"/>
  <c r="C69" i="56457" s="1"/>
  <c r="B69" i="56457"/>
  <c r="D67" i="56456"/>
  <c r="D90" i="56456" s="1"/>
  <c r="N54" i="32"/>
  <c r="N77" i="32" s="1"/>
  <c r="D53" i="36"/>
  <c r="D117" i="36" s="1"/>
  <c r="D75" i="1"/>
  <c r="D121" i="1" s="1"/>
  <c r="M55" i="32"/>
  <c r="M78" i="32" s="1"/>
  <c r="M102" i="36"/>
  <c r="M78" i="36"/>
  <c r="M106" i="1"/>
  <c r="D50" i="56457" l="1"/>
  <c r="D69" i="56457" s="1"/>
  <c r="E67" i="56456"/>
  <c r="E90" i="56456" s="1"/>
  <c r="E53" i="36"/>
  <c r="E117" i="36" s="1"/>
  <c r="E75" i="1"/>
  <c r="E121" i="1" s="1"/>
  <c r="E50" i="56457"/>
  <c r="E69" i="56457" s="1"/>
  <c r="L55" i="32"/>
  <c r="L78" i="32" s="1"/>
  <c r="L102" i="36"/>
  <c r="L78" i="36"/>
  <c r="L106" i="1"/>
  <c r="F67" i="56456" l="1"/>
  <c r="F90" i="56456" s="1"/>
  <c r="F53" i="36"/>
  <c r="F117" i="36" s="1"/>
  <c r="F75" i="1"/>
  <c r="F121" i="1" s="1"/>
  <c r="F50" i="56457"/>
  <c r="F69" i="56457" s="1"/>
  <c r="K55" i="32"/>
  <c r="K78" i="32" s="1"/>
  <c r="K102" i="36"/>
  <c r="K78" i="36"/>
  <c r="K106" i="1"/>
  <c r="G67" i="56456" l="1"/>
  <c r="G90" i="56456" s="1"/>
  <c r="G53" i="36"/>
  <c r="G117" i="36" s="1"/>
  <c r="G75" i="1"/>
  <c r="G121" i="1" s="1"/>
  <c r="G50" i="56457"/>
  <c r="G69" i="56457" s="1"/>
  <c r="J55" i="32"/>
  <c r="J78" i="32" s="1"/>
  <c r="J102" i="36"/>
  <c r="J78" i="36"/>
  <c r="J106" i="1"/>
  <c r="H67" i="56456" l="1"/>
  <c r="H90" i="56456" s="1"/>
  <c r="H53" i="36"/>
  <c r="H117" i="36" s="1"/>
  <c r="H75" i="1"/>
  <c r="H121" i="1" s="1"/>
  <c r="H50" i="56457"/>
  <c r="H69" i="56457" s="1"/>
  <c r="I55" i="32"/>
  <c r="I78" i="32" s="1"/>
  <c r="I102" i="36"/>
  <c r="I78" i="36"/>
  <c r="I106" i="1"/>
  <c r="I67" i="56456" l="1"/>
  <c r="I90" i="56456" s="1"/>
  <c r="I53" i="36"/>
  <c r="I117" i="36" s="1"/>
  <c r="I75" i="1"/>
  <c r="I121" i="1" s="1"/>
  <c r="I50" i="56457"/>
  <c r="I69" i="56457" s="1"/>
  <c r="H55" i="32"/>
  <c r="H78" i="32" s="1"/>
  <c r="H102" i="36"/>
  <c r="H78" i="36"/>
  <c r="J67" i="56456" l="1"/>
  <c r="J90" i="56456" s="1"/>
  <c r="J53" i="36"/>
  <c r="J117" i="36" s="1"/>
  <c r="J75" i="1"/>
  <c r="J121" i="1" s="1"/>
  <c r="J50" i="56457"/>
  <c r="J69" i="56457" s="1"/>
  <c r="H106" i="1"/>
  <c r="K67" i="56456" l="1"/>
  <c r="K90" i="56456" s="1"/>
  <c r="K53" i="36"/>
  <c r="K117" i="36" s="1"/>
  <c r="K75" i="1"/>
  <c r="K121" i="1" s="1"/>
  <c r="K50" i="56457"/>
  <c r="K69" i="56457" s="1"/>
  <c r="G55" i="32"/>
  <c r="G78" i="32" s="1"/>
  <c r="G102" i="36"/>
  <c r="G78" i="36"/>
  <c r="G106" i="1"/>
  <c r="L67" i="56456" l="1"/>
  <c r="L90" i="56456" s="1"/>
  <c r="L53" i="36"/>
  <c r="L117" i="36" s="1"/>
  <c r="L75" i="1"/>
  <c r="L121" i="1" s="1"/>
  <c r="L50" i="56457"/>
  <c r="L69" i="56457" s="1"/>
  <c r="F55" i="32"/>
  <c r="F78" i="32" s="1"/>
  <c r="F102" i="36"/>
  <c r="F78" i="36"/>
  <c r="F106" i="1"/>
  <c r="M67" i="56456" l="1"/>
  <c r="M90" i="56456" s="1"/>
  <c r="M53" i="36"/>
  <c r="M117" i="36" s="1"/>
  <c r="M75" i="1"/>
  <c r="M121" i="1" s="1"/>
  <c r="M50" i="56457"/>
  <c r="M69" i="56457" s="1"/>
  <c r="E55" i="32"/>
  <c r="E78" i="32" s="1"/>
  <c r="E102" i="36"/>
  <c r="E78" i="36"/>
  <c r="E106" i="1"/>
  <c r="D55" i="32" l="1"/>
  <c r="D78" i="32" s="1"/>
  <c r="D78" i="36" l="1"/>
  <c r="C78" i="36"/>
  <c r="D102" i="36" l="1"/>
  <c r="D106" i="1" l="1"/>
  <c r="C55" i="32" l="1"/>
  <c r="C78" i="32" s="1"/>
  <c r="B68" i="56456"/>
  <c r="C102" i="36"/>
  <c r="C106" i="1"/>
  <c r="C68" i="56456" l="1"/>
  <c r="B91" i="56456"/>
  <c r="B55" i="32"/>
  <c r="B78" i="32" s="1"/>
  <c r="N32" i="32"/>
  <c r="N33" i="56456"/>
  <c r="D68" i="56456" l="1"/>
  <c r="C91" i="56456"/>
  <c r="N55" i="32"/>
  <c r="N78" i="32" s="1"/>
  <c r="D91" i="56456" l="1"/>
  <c r="E68" i="56456"/>
  <c r="N30" i="36"/>
  <c r="B54" i="36"/>
  <c r="B102" i="36"/>
  <c r="N32" i="1"/>
  <c r="B76" i="1"/>
  <c r="B106" i="1"/>
  <c r="N31" i="56457"/>
  <c r="B51" i="56457"/>
  <c r="E91" i="56456" l="1"/>
  <c r="F68" i="56456"/>
  <c r="C54" i="36"/>
  <c r="C118" i="36" s="1"/>
  <c r="B118" i="36"/>
  <c r="C76" i="1"/>
  <c r="C122" i="1" s="1"/>
  <c r="B122" i="1"/>
  <c r="C51" i="56457"/>
  <c r="C70" i="56457" s="1"/>
  <c r="B70" i="56457"/>
  <c r="D76" i="1"/>
  <c r="D122" i="1" s="1"/>
  <c r="M103" i="36"/>
  <c r="M79" i="36"/>
  <c r="M107" i="1"/>
  <c r="D51" i="56457" l="1"/>
  <c r="D70" i="56457" s="1"/>
  <c r="F91" i="56456"/>
  <c r="G68" i="56456"/>
  <c r="D54" i="36"/>
  <c r="D118" i="36" s="1"/>
  <c r="E76" i="1"/>
  <c r="E122" i="1" s="1"/>
  <c r="E51" i="56457"/>
  <c r="E70" i="56457" s="1"/>
  <c r="L103" i="36"/>
  <c r="L79" i="36"/>
  <c r="L107" i="1"/>
  <c r="E54" i="36" l="1"/>
  <c r="E118" i="36" s="1"/>
  <c r="G91" i="56456"/>
  <c r="H68" i="56456"/>
  <c r="F54" i="36"/>
  <c r="F118" i="36" s="1"/>
  <c r="F76" i="1"/>
  <c r="F122" i="1" s="1"/>
  <c r="F51" i="56457"/>
  <c r="F70" i="56457" s="1"/>
  <c r="K103" i="36"/>
  <c r="K79" i="36"/>
  <c r="K107" i="1"/>
  <c r="H91" i="56456" l="1"/>
  <c r="I68" i="56456"/>
  <c r="G54" i="36"/>
  <c r="G118" i="36" s="1"/>
  <c r="G76" i="1"/>
  <c r="G122" i="1" s="1"/>
  <c r="G51" i="56457"/>
  <c r="G70" i="56457" s="1"/>
  <c r="J103" i="36"/>
  <c r="J79" i="36"/>
  <c r="J107" i="1"/>
  <c r="I91" i="56456" l="1"/>
  <c r="J68" i="56456"/>
  <c r="H54" i="36"/>
  <c r="H118" i="36" s="1"/>
  <c r="H76" i="1"/>
  <c r="H122" i="1" s="1"/>
  <c r="H51" i="56457"/>
  <c r="H70" i="56457" s="1"/>
  <c r="I103" i="36"/>
  <c r="I79" i="36"/>
  <c r="I107" i="1"/>
  <c r="J91" i="56456" l="1"/>
  <c r="K68" i="56456"/>
  <c r="I54" i="36"/>
  <c r="I118" i="36" s="1"/>
  <c r="I76" i="1"/>
  <c r="I122" i="1" s="1"/>
  <c r="I51" i="56457"/>
  <c r="I70" i="56457" s="1"/>
  <c r="H103" i="36"/>
  <c r="H79" i="36"/>
  <c r="H107" i="1"/>
  <c r="K91" i="56456" l="1"/>
  <c r="L68" i="56456"/>
  <c r="J54" i="36"/>
  <c r="J118" i="36" s="1"/>
  <c r="J76" i="1"/>
  <c r="J122" i="1" s="1"/>
  <c r="J51" i="56457"/>
  <c r="J70" i="56457" s="1"/>
  <c r="G103" i="36"/>
  <c r="G79" i="36"/>
  <c r="G107" i="1"/>
  <c r="L91" i="56456" l="1"/>
  <c r="M68" i="56456"/>
  <c r="M91" i="56456" s="1"/>
  <c r="K54" i="36"/>
  <c r="K118" i="36" s="1"/>
  <c r="K76" i="1"/>
  <c r="K122" i="1" s="1"/>
  <c r="K51" i="56457"/>
  <c r="K70" i="56457" s="1"/>
  <c r="G56" i="32"/>
  <c r="G79" i="32" s="1"/>
  <c r="F103" i="36"/>
  <c r="F79" i="36"/>
  <c r="F107" i="1"/>
  <c r="L54" i="36" l="1"/>
  <c r="L118" i="36" s="1"/>
  <c r="L76" i="1"/>
  <c r="L122" i="1" s="1"/>
  <c r="L51" i="56457"/>
  <c r="L70" i="56457" s="1"/>
  <c r="E56" i="32"/>
  <c r="E79" i="32" s="1"/>
  <c r="E103" i="36"/>
  <c r="E79" i="36"/>
  <c r="E107" i="1"/>
  <c r="M54" i="36" l="1"/>
  <c r="M118" i="36" s="1"/>
  <c r="M76" i="1"/>
  <c r="M122" i="1" s="1"/>
  <c r="M51" i="56457"/>
  <c r="M70" i="56457" s="1"/>
  <c r="D56" i="32"/>
  <c r="D79" i="32" s="1"/>
  <c r="D103" i="36"/>
  <c r="D79" i="36"/>
  <c r="D107" i="1"/>
  <c r="C56" i="32" l="1"/>
  <c r="C79" i="32" s="1"/>
  <c r="C103" i="36"/>
  <c r="C79" i="36"/>
  <c r="C107" i="1" l="1"/>
  <c r="B77" i="1" l="1"/>
  <c r="B123" i="1" l="1"/>
  <c r="C77" i="1"/>
  <c r="M56" i="32"/>
  <c r="M79" i="32" s="1"/>
  <c r="L56" i="32"/>
  <c r="L79" i="32" s="1"/>
  <c r="K56" i="32"/>
  <c r="K79" i="32" s="1"/>
  <c r="J56" i="32"/>
  <c r="J79" i="32" s="1"/>
  <c r="I56" i="32"/>
  <c r="I79" i="32" s="1"/>
  <c r="H56" i="32"/>
  <c r="H79" i="32" s="1"/>
  <c r="F56" i="32"/>
  <c r="F79" i="32" s="1"/>
  <c r="B56" i="32"/>
  <c r="N33" i="32"/>
  <c r="B69" i="56456"/>
  <c r="N34" i="56456"/>
  <c r="N35" i="56456"/>
  <c r="B103" i="36"/>
  <c r="B79" i="36"/>
  <c r="B93" i="36"/>
  <c r="B94" i="36"/>
  <c r="B55" i="36"/>
  <c r="N31" i="36"/>
  <c r="B107" i="1"/>
  <c r="N33" i="1"/>
  <c r="B52" i="56457"/>
  <c r="N32" i="56457"/>
  <c r="B92" i="56456" l="1"/>
  <c r="C69" i="56456"/>
  <c r="B119" i="36"/>
  <c r="C55" i="36"/>
  <c r="C123" i="1"/>
  <c r="D77" i="1"/>
  <c r="B71" i="56457"/>
  <c r="C52" i="56457"/>
  <c r="N56" i="32"/>
  <c r="N79" i="32" s="1"/>
  <c r="B79" i="32"/>
  <c r="M57" i="32"/>
  <c r="M80" i="32" s="1"/>
  <c r="M104" i="36"/>
  <c r="M80" i="36"/>
  <c r="C92" i="56456" l="1"/>
  <c r="D69" i="56456"/>
  <c r="C119" i="36"/>
  <c r="D55" i="36"/>
  <c r="D123" i="1"/>
  <c r="E77" i="1"/>
  <c r="C71" i="56457"/>
  <c r="D52" i="56457"/>
  <c r="L57" i="32"/>
  <c r="L80" i="32" s="1"/>
  <c r="L104" i="36"/>
  <c r="L80" i="36"/>
  <c r="D92" i="56456" l="1"/>
  <c r="E69" i="56456"/>
  <c r="D119" i="36"/>
  <c r="E55" i="36"/>
  <c r="E123" i="1"/>
  <c r="F77" i="1"/>
  <c r="D71" i="56457"/>
  <c r="E52" i="56457"/>
  <c r="K57" i="32"/>
  <c r="K80" i="32" s="1"/>
  <c r="K104" i="36"/>
  <c r="K80" i="36"/>
  <c r="E92" i="56456" l="1"/>
  <c r="F69" i="56456"/>
  <c r="E119" i="36"/>
  <c r="F55" i="36"/>
  <c r="F123" i="1"/>
  <c r="G77" i="1"/>
  <c r="E71" i="56457"/>
  <c r="F52" i="56457"/>
  <c r="J57" i="32"/>
  <c r="J80" i="32" s="1"/>
  <c r="J104" i="36"/>
  <c r="J80" i="36"/>
  <c r="J108" i="1"/>
  <c r="F92" i="56456" l="1"/>
  <c r="G69" i="56456"/>
  <c r="F119" i="36"/>
  <c r="G55" i="36"/>
  <c r="G123" i="1"/>
  <c r="H77" i="1"/>
  <c r="F71" i="56457"/>
  <c r="G52" i="56457"/>
  <c r="I57" i="32"/>
  <c r="I80" i="32" s="1"/>
  <c r="I104" i="36"/>
  <c r="I80" i="36"/>
  <c r="G92" i="56456" l="1"/>
  <c r="H69" i="56456"/>
  <c r="G119" i="36"/>
  <c r="H55" i="36"/>
  <c r="I77" i="1"/>
  <c r="H123" i="1"/>
  <c r="G71" i="56457"/>
  <c r="H52" i="56457"/>
  <c r="H57" i="32"/>
  <c r="H80" i="32" s="1"/>
  <c r="H104" i="36"/>
  <c r="H80" i="36"/>
  <c r="H108" i="1"/>
  <c r="H92" i="56456" l="1"/>
  <c r="I69" i="56456"/>
  <c r="I55" i="36"/>
  <c r="H119" i="36"/>
  <c r="I123" i="1"/>
  <c r="J77" i="1"/>
  <c r="I52" i="56457"/>
  <c r="H71" i="56457"/>
  <c r="G57" i="32"/>
  <c r="G80" i="32" s="1"/>
  <c r="G104" i="36"/>
  <c r="G80" i="36"/>
  <c r="G108" i="1"/>
  <c r="I92" i="56456" l="1"/>
  <c r="J69" i="56456"/>
  <c r="J55" i="36"/>
  <c r="I119" i="36"/>
  <c r="K77" i="1"/>
  <c r="J123" i="1"/>
  <c r="J52" i="56457"/>
  <c r="I71" i="56457"/>
  <c r="F57" i="32"/>
  <c r="F80" i="32" s="1"/>
  <c r="F104" i="36"/>
  <c r="F80" i="36"/>
  <c r="F108" i="1"/>
  <c r="K69" i="56456" l="1"/>
  <c r="J92" i="56456"/>
  <c r="K55" i="36"/>
  <c r="J119" i="36"/>
  <c r="L77" i="1"/>
  <c r="K123" i="1"/>
  <c r="K52" i="56457"/>
  <c r="J71" i="56457"/>
  <c r="E57" i="32"/>
  <c r="E80" i="32" s="1"/>
  <c r="E104" i="36"/>
  <c r="E80" i="36"/>
  <c r="E108" i="1"/>
  <c r="L69" i="56456" l="1"/>
  <c r="K92" i="56456"/>
  <c r="L55" i="36"/>
  <c r="K119" i="36"/>
  <c r="M77" i="1"/>
  <c r="L123" i="1"/>
  <c r="L52" i="56457"/>
  <c r="K71" i="56457"/>
  <c r="D57" i="32"/>
  <c r="D80" i="32" s="1"/>
  <c r="D104" i="36"/>
  <c r="D80" i="36"/>
  <c r="D108" i="1"/>
  <c r="M69" i="56456" l="1"/>
  <c r="L92" i="56456"/>
  <c r="M55" i="36"/>
  <c r="L119" i="36"/>
  <c r="M123" i="1"/>
  <c r="M52" i="56457"/>
  <c r="L71" i="56457"/>
  <c r="C57" i="32"/>
  <c r="C80" i="32" s="1"/>
  <c r="B57" i="32"/>
  <c r="C80" i="36"/>
  <c r="C104" i="36"/>
  <c r="C108" i="1"/>
  <c r="M92" i="56456" l="1"/>
  <c r="M119" i="36"/>
  <c r="M71" i="56457"/>
  <c r="N34" i="32"/>
  <c r="B35" i="32"/>
  <c r="C35" i="32"/>
  <c r="D35" i="32"/>
  <c r="E35" i="32"/>
  <c r="F35" i="32"/>
  <c r="G35" i="32"/>
  <c r="H35" i="32"/>
  <c r="I35" i="32"/>
  <c r="J35" i="32"/>
  <c r="K35" i="32"/>
  <c r="L35" i="32"/>
  <c r="M35" i="32"/>
  <c r="B36" i="32"/>
  <c r="C36" i="32"/>
  <c r="D36" i="32"/>
  <c r="E36" i="32"/>
  <c r="F36" i="32"/>
  <c r="G36" i="32"/>
  <c r="H36" i="32"/>
  <c r="I36" i="32"/>
  <c r="J36" i="32"/>
  <c r="K36" i="32"/>
  <c r="L36" i="32"/>
  <c r="M36" i="32"/>
  <c r="B37" i="32"/>
  <c r="C37" i="32"/>
  <c r="D37" i="32"/>
  <c r="E37" i="32"/>
  <c r="F37" i="32"/>
  <c r="G37" i="32"/>
  <c r="H37" i="32"/>
  <c r="I37" i="32"/>
  <c r="J37" i="32"/>
  <c r="K37" i="32"/>
  <c r="L37" i="32"/>
  <c r="M37" i="32"/>
  <c r="B38" i="32"/>
  <c r="C38" i="32"/>
  <c r="D38" i="32"/>
  <c r="E38" i="32"/>
  <c r="F38" i="32"/>
  <c r="G38" i="32"/>
  <c r="H38" i="32"/>
  <c r="I38" i="32"/>
  <c r="J38" i="32"/>
  <c r="K38" i="32"/>
  <c r="L38" i="32"/>
  <c r="M38" i="32"/>
  <c r="B39" i="32"/>
  <c r="C39" i="32"/>
  <c r="D39" i="32"/>
  <c r="E39" i="32"/>
  <c r="F39" i="32"/>
  <c r="G39" i="32"/>
  <c r="H39" i="32"/>
  <c r="I39" i="32"/>
  <c r="J39" i="32"/>
  <c r="K39" i="32"/>
  <c r="L39" i="32"/>
  <c r="M39" i="32"/>
  <c r="B40" i="32"/>
  <c r="C40" i="32"/>
  <c r="D40" i="32"/>
  <c r="E40" i="32"/>
  <c r="F40" i="32"/>
  <c r="G40" i="32"/>
  <c r="H40" i="32"/>
  <c r="I40" i="32"/>
  <c r="J40" i="32"/>
  <c r="K40" i="32"/>
  <c r="L40" i="32"/>
  <c r="M40" i="32"/>
  <c r="B41" i="32"/>
  <c r="C41" i="32"/>
  <c r="D41" i="32"/>
  <c r="E41" i="32"/>
  <c r="F41" i="32"/>
  <c r="G41" i="32"/>
  <c r="H41" i="32"/>
  <c r="I41" i="32"/>
  <c r="J41" i="32"/>
  <c r="K41" i="32"/>
  <c r="L41" i="32"/>
  <c r="M41" i="32"/>
  <c r="B42" i="32"/>
  <c r="C42" i="32"/>
  <c r="D42" i="32"/>
  <c r="E42" i="32"/>
  <c r="F42" i="32"/>
  <c r="G42" i="32"/>
  <c r="H42" i="32"/>
  <c r="I42" i="32"/>
  <c r="J42" i="32"/>
  <c r="K42" i="32"/>
  <c r="L42" i="32"/>
  <c r="M42" i="32"/>
  <c r="B43" i="32"/>
  <c r="C43" i="32"/>
  <c r="D43" i="32"/>
  <c r="E43" i="32"/>
  <c r="F43" i="32"/>
  <c r="G43" i="32"/>
  <c r="H43" i="32"/>
  <c r="I43" i="32"/>
  <c r="J43" i="32"/>
  <c r="K43" i="32"/>
  <c r="L43" i="32"/>
  <c r="M43" i="32"/>
  <c r="B44" i="32"/>
  <c r="C44" i="32"/>
  <c r="D44" i="32"/>
  <c r="E44" i="32"/>
  <c r="F44" i="32"/>
  <c r="H44" i="32"/>
  <c r="I44" i="32"/>
  <c r="J44" i="32"/>
  <c r="K44" i="32"/>
  <c r="L44" i="32"/>
  <c r="M44" i="32"/>
  <c r="N45" i="32"/>
  <c r="N46" i="32"/>
  <c r="N47" i="32"/>
  <c r="N48" i="32"/>
  <c r="N57" i="32"/>
  <c r="B58" i="32"/>
  <c r="B81" i="32" s="1"/>
  <c r="C58" i="32"/>
  <c r="C81" i="32" s="1"/>
  <c r="D58" i="32"/>
  <c r="D81" i="32" s="1"/>
  <c r="E58" i="32"/>
  <c r="E81" i="32" s="1"/>
  <c r="F58" i="32"/>
  <c r="F81" i="32" s="1"/>
  <c r="G58" i="32"/>
  <c r="G81" i="32" s="1"/>
  <c r="H58" i="32"/>
  <c r="H81" i="32" s="1"/>
  <c r="I58" i="32"/>
  <c r="I81" i="32" s="1"/>
  <c r="J58" i="32"/>
  <c r="J81" i="32" s="1"/>
  <c r="K58" i="32"/>
  <c r="K81" i="32" s="1"/>
  <c r="L58" i="32"/>
  <c r="M58" i="32"/>
  <c r="B59" i="32"/>
  <c r="B82" i="32" s="1"/>
  <c r="C59" i="32"/>
  <c r="C82" i="32" s="1"/>
  <c r="D59" i="32"/>
  <c r="D82" i="32" s="1"/>
  <c r="E59" i="32"/>
  <c r="E82" i="32" s="1"/>
  <c r="F59" i="32"/>
  <c r="F82" i="32" s="1"/>
  <c r="G59" i="32"/>
  <c r="G82" i="32" s="1"/>
  <c r="H59" i="32"/>
  <c r="I59" i="32"/>
  <c r="I82" i="32" s="1"/>
  <c r="J59" i="32"/>
  <c r="J82" i="32" s="1"/>
  <c r="K59" i="32"/>
  <c r="K82" i="32" s="1"/>
  <c r="L59" i="32"/>
  <c r="L82" i="32" s="1"/>
  <c r="M59" i="32"/>
  <c r="M82" i="32" s="1"/>
  <c r="B60" i="32"/>
  <c r="B83" i="32" s="1"/>
  <c r="C60" i="32"/>
  <c r="C83" i="32" s="1"/>
  <c r="D60" i="32"/>
  <c r="D83" i="32" s="1"/>
  <c r="E60" i="32"/>
  <c r="E83" i="32" s="1"/>
  <c r="F60" i="32"/>
  <c r="F83" i="32" s="1"/>
  <c r="G60" i="32"/>
  <c r="G83" i="32" s="1"/>
  <c r="H60" i="32"/>
  <c r="I60" i="32"/>
  <c r="I83" i="32" s="1"/>
  <c r="J60" i="32"/>
  <c r="J83" i="32" s="1"/>
  <c r="K60" i="32"/>
  <c r="K83" i="32" s="1"/>
  <c r="L60" i="32"/>
  <c r="M60" i="32"/>
  <c r="M83" i="32" s="1"/>
  <c r="B61" i="32"/>
  <c r="B84" i="32" s="1"/>
  <c r="C61" i="32"/>
  <c r="C84" i="32" s="1"/>
  <c r="D61" i="32"/>
  <c r="D84" i="32" s="1"/>
  <c r="E61" i="32"/>
  <c r="E84" i="32" s="1"/>
  <c r="F61" i="32"/>
  <c r="F84" i="32" s="1"/>
  <c r="G61" i="32"/>
  <c r="G84" i="32" s="1"/>
  <c r="H61" i="32"/>
  <c r="H84" i="32" s="1"/>
  <c r="I61" i="32"/>
  <c r="I84" i="32" s="1"/>
  <c r="J61" i="32"/>
  <c r="J84" i="32" s="1"/>
  <c r="K61" i="32"/>
  <c r="K84" i="32" s="1"/>
  <c r="L61" i="32"/>
  <c r="L84" i="32" s="1"/>
  <c r="M61" i="32"/>
  <c r="M84" i="32" s="1"/>
  <c r="B62" i="32"/>
  <c r="B85" i="32" s="1"/>
  <c r="C62" i="32"/>
  <c r="C85" i="32" s="1"/>
  <c r="D62" i="32"/>
  <c r="E62" i="32"/>
  <c r="E85" i="32" s="1"/>
  <c r="F62" i="32"/>
  <c r="F85" i="32" s="1"/>
  <c r="G62" i="32"/>
  <c r="G85" i="32" s="1"/>
  <c r="H62" i="32"/>
  <c r="H85" i="32" s="1"/>
  <c r="I62" i="32"/>
  <c r="I85" i="32" s="1"/>
  <c r="J62" i="32"/>
  <c r="J85" i="32" s="1"/>
  <c r="K62" i="32"/>
  <c r="K85" i="32" s="1"/>
  <c r="L62" i="32"/>
  <c r="M62" i="32"/>
  <c r="M85" i="32" s="1"/>
  <c r="B63" i="32"/>
  <c r="B86" i="32" s="1"/>
  <c r="C63" i="32"/>
  <c r="C86" i="32" s="1"/>
  <c r="D63" i="32"/>
  <c r="D86" i="32" s="1"/>
  <c r="E63" i="32"/>
  <c r="E86" i="32" s="1"/>
  <c r="F63" i="32"/>
  <c r="F86" i="32" s="1"/>
  <c r="G63" i="32"/>
  <c r="G86" i="32" s="1"/>
  <c r="H63" i="32"/>
  <c r="I63" i="32"/>
  <c r="I86" i="32" s="1"/>
  <c r="J63" i="32"/>
  <c r="J86" i="32" s="1"/>
  <c r="K63" i="32"/>
  <c r="K86" i="32" s="1"/>
  <c r="L63" i="32"/>
  <c r="L86" i="32" s="1"/>
  <c r="M63" i="32"/>
  <c r="M86" i="32" s="1"/>
  <c r="B64" i="32"/>
  <c r="B87" i="32" s="1"/>
  <c r="C64" i="32"/>
  <c r="C87" i="32" s="1"/>
  <c r="D64" i="32"/>
  <c r="D87" i="32" s="1"/>
  <c r="E64" i="32"/>
  <c r="E87" i="32" s="1"/>
  <c r="F64" i="32"/>
  <c r="F87" i="32" s="1"/>
  <c r="G64" i="32"/>
  <c r="G87" i="32" s="1"/>
  <c r="H64" i="32"/>
  <c r="H87" i="32" s="1"/>
  <c r="I64" i="32"/>
  <c r="I87" i="32" s="1"/>
  <c r="J64" i="32"/>
  <c r="J87" i="32" s="1"/>
  <c r="K64" i="32"/>
  <c r="K87" i="32" s="1"/>
  <c r="L64" i="32"/>
  <c r="L87" i="32" s="1"/>
  <c r="M64" i="32"/>
  <c r="M87" i="32" s="1"/>
  <c r="B65" i="32"/>
  <c r="B88" i="32" s="1"/>
  <c r="C65" i="32"/>
  <c r="C88" i="32" s="1"/>
  <c r="D65" i="32"/>
  <c r="E65" i="32"/>
  <c r="E88" i="32" s="1"/>
  <c r="F65" i="32"/>
  <c r="F88" i="32" s="1"/>
  <c r="G65" i="32"/>
  <c r="G88" i="32" s="1"/>
  <c r="H65" i="32"/>
  <c r="H88" i="32" s="1"/>
  <c r="I65" i="32"/>
  <c r="I88" i="32" s="1"/>
  <c r="J65" i="32"/>
  <c r="J88" i="32" s="1"/>
  <c r="K65" i="32"/>
  <c r="K88" i="32" s="1"/>
  <c r="L65" i="32"/>
  <c r="L88" i="32" s="1"/>
  <c r="M65" i="32"/>
  <c r="M88" i="32" s="1"/>
  <c r="B66" i="32"/>
  <c r="B89" i="32" s="1"/>
  <c r="C66" i="32"/>
  <c r="C89" i="32" s="1"/>
  <c r="D66" i="32"/>
  <c r="D89" i="32" s="1"/>
  <c r="E66" i="32"/>
  <c r="E89" i="32" s="1"/>
  <c r="F66" i="32"/>
  <c r="F89" i="32" s="1"/>
  <c r="G66" i="32"/>
  <c r="G89" i="32" s="1"/>
  <c r="H66" i="32"/>
  <c r="H89" i="32" s="1"/>
  <c r="I66" i="32"/>
  <c r="I89" i="32" s="1"/>
  <c r="J66" i="32"/>
  <c r="J89" i="32" s="1"/>
  <c r="K66" i="32"/>
  <c r="K89" i="32" s="1"/>
  <c r="L66" i="32"/>
  <c r="M66" i="32"/>
  <c r="M89" i="32" s="1"/>
  <c r="B67" i="32"/>
  <c r="B90" i="32" s="1"/>
  <c r="C67" i="32"/>
  <c r="C90" i="32" s="1"/>
  <c r="D67" i="32"/>
  <c r="D90" i="32" s="1"/>
  <c r="E67" i="32"/>
  <c r="E90" i="32" s="1"/>
  <c r="F67" i="32"/>
  <c r="F90" i="32" s="1"/>
  <c r="G67" i="32"/>
  <c r="H67" i="32"/>
  <c r="I67" i="32"/>
  <c r="J67" i="32"/>
  <c r="K67" i="32"/>
  <c r="L67" i="32"/>
  <c r="M67" i="32"/>
  <c r="N68" i="32"/>
  <c r="N69" i="32"/>
  <c r="N70" i="32"/>
  <c r="N71" i="32"/>
  <c r="B80" i="32"/>
  <c r="L85" i="32"/>
  <c r="B91" i="32"/>
  <c r="C91" i="32"/>
  <c r="D91" i="32"/>
  <c r="E91" i="32"/>
  <c r="F91" i="32"/>
  <c r="G91" i="32"/>
  <c r="H91" i="32"/>
  <c r="I91" i="32"/>
  <c r="J91" i="32"/>
  <c r="K91" i="32"/>
  <c r="L91" i="32"/>
  <c r="M91" i="32"/>
  <c r="B92" i="32"/>
  <c r="C92" i="32"/>
  <c r="D92" i="32"/>
  <c r="E92" i="32"/>
  <c r="F92" i="32"/>
  <c r="G92" i="32"/>
  <c r="H92" i="32"/>
  <c r="I92" i="32"/>
  <c r="J92" i="32"/>
  <c r="K92" i="32"/>
  <c r="L92" i="32"/>
  <c r="M92" i="32"/>
  <c r="B93" i="32"/>
  <c r="C93" i="32"/>
  <c r="D93" i="32"/>
  <c r="E93" i="32"/>
  <c r="F93" i="32"/>
  <c r="G93" i="32"/>
  <c r="H93" i="32"/>
  <c r="I93" i="32"/>
  <c r="J93" i="32"/>
  <c r="K93" i="32"/>
  <c r="L93" i="32"/>
  <c r="M93" i="32"/>
  <c r="B94" i="32"/>
  <c r="C94" i="32"/>
  <c r="D94" i="32"/>
  <c r="E94" i="32"/>
  <c r="F94" i="32"/>
  <c r="G94" i="32"/>
  <c r="H94" i="32"/>
  <c r="I94" i="32"/>
  <c r="J94" i="32"/>
  <c r="K94" i="32"/>
  <c r="L94" i="32"/>
  <c r="M94" i="32"/>
  <c r="N36" i="56456"/>
  <c r="N37" i="56456"/>
  <c r="N38" i="56456"/>
  <c r="N39" i="56456"/>
  <c r="N40" i="56456"/>
  <c r="N41" i="56456"/>
  <c r="N42" i="56456"/>
  <c r="N43" i="56456"/>
  <c r="N44" i="56456"/>
  <c r="N45" i="56456"/>
  <c r="N46" i="56456"/>
  <c r="N47" i="56456"/>
  <c r="N48" i="56456"/>
  <c r="N49" i="56456"/>
  <c r="N50" i="56456"/>
  <c r="C53" i="56456"/>
  <c r="D53" i="56456"/>
  <c r="E53" i="56456"/>
  <c r="F53" i="56456"/>
  <c r="G53" i="56456"/>
  <c r="H53" i="56456"/>
  <c r="I53" i="56456"/>
  <c r="J53" i="56456"/>
  <c r="K53" i="56456"/>
  <c r="L53" i="56456"/>
  <c r="M53" i="56456"/>
  <c r="C54" i="56456"/>
  <c r="D54" i="56456"/>
  <c r="E54" i="56456"/>
  <c r="F54" i="56456"/>
  <c r="G54" i="56456"/>
  <c r="H54" i="56456"/>
  <c r="I54" i="56456"/>
  <c r="J54" i="56456"/>
  <c r="K54" i="56456"/>
  <c r="L54" i="56456"/>
  <c r="M54" i="56456"/>
  <c r="C55" i="56456"/>
  <c r="D55" i="56456"/>
  <c r="E55" i="56456"/>
  <c r="F55" i="56456"/>
  <c r="G55" i="56456"/>
  <c r="H55" i="56456"/>
  <c r="I55" i="56456"/>
  <c r="J55" i="56456"/>
  <c r="K55" i="56456"/>
  <c r="L55" i="56456"/>
  <c r="M55" i="56456"/>
  <c r="C56" i="56456"/>
  <c r="D56" i="56456"/>
  <c r="E56" i="56456"/>
  <c r="F56" i="56456"/>
  <c r="G56" i="56456"/>
  <c r="H56" i="56456"/>
  <c r="I56" i="56456"/>
  <c r="J56" i="56456"/>
  <c r="K56" i="56456"/>
  <c r="L56" i="56456"/>
  <c r="M56" i="56456"/>
  <c r="B59" i="56456"/>
  <c r="C59" i="56456"/>
  <c r="D59" i="56456"/>
  <c r="E59" i="56456"/>
  <c r="F59" i="56456"/>
  <c r="G59" i="56456"/>
  <c r="H59" i="56456"/>
  <c r="I59" i="56456"/>
  <c r="J59" i="56456"/>
  <c r="K59" i="56456"/>
  <c r="L59" i="56456"/>
  <c r="M59" i="56456"/>
  <c r="B60" i="56456"/>
  <c r="C60" i="56456"/>
  <c r="D60" i="56456"/>
  <c r="E60" i="56456"/>
  <c r="F60" i="56456"/>
  <c r="G60" i="56456"/>
  <c r="H60" i="56456"/>
  <c r="I60" i="56456"/>
  <c r="J60" i="56456"/>
  <c r="K60" i="56456"/>
  <c r="L60" i="56456"/>
  <c r="M60" i="56456"/>
  <c r="B61" i="56456"/>
  <c r="C61" i="56456"/>
  <c r="D61" i="56456"/>
  <c r="E61" i="56456"/>
  <c r="F61" i="56456"/>
  <c r="G61" i="56456"/>
  <c r="H61" i="56456"/>
  <c r="I61" i="56456"/>
  <c r="J61" i="56456"/>
  <c r="K61" i="56456"/>
  <c r="L61" i="56456"/>
  <c r="M61" i="56456"/>
  <c r="B70" i="56456"/>
  <c r="B71" i="56456"/>
  <c r="C71" i="56456" s="1"/>
  <c r="D71" i="56456" s="1"/>
  <c r="E71" i="56456" s="1"/>
  <c r="F71" i="56456" s="1"/>
  <c r="B72" i="56456"/>
  <c r="C72" i="56456" s="1"/>
  <c r="B73" i="56456"/>
  <c r="C73" i="56456" s="1"/>
  <c r="D73" i="56456" s="1"/>
  <c r="E73" i="56456" s="1"/>
  <c r="F73" i="56456" s="1"/>
  <c r="G73" i="56456" s="1"/>
  <c r="H73" i="56456" s="1"/>
  <c r="I73" i="56456" s="1"/>
  <c r="J73" i="56456" s="1"/>
  <c r="K73" i="56456" s="1"/>
  <c r="L73" i="56456" s="1"/>
  <c r="M73" i="56456" s="1"/>
  <c r="C74" i="56456"/>
  <c r="D74" i="56456" s="1"/>
  <c r="B75" i="56456"/>
  <c r="C75" i="56456" s="1"/>
  <c r="D75" i="56456" s="1"/>
  <c r="E75" i="56456" s="1"/>
  <c r="F75" i="56456" s="1"/>
  <c r="G75" i="56456" s="1"/>
  <c r="H75" i="56456" s="1"/>
  <c r="I75" i="56456" s="1"/>
  <c r="J75" i="56456" s="1"/>
  <c r="K75" i="56456" s="1"/>
  <c r="L75" i="56456" s="1"/>
  <c r="M75" i="56456" s="1"/>
  <c r="B76" i="56456"/>
  <c r="C76" i="56456" s="1"/>
  <c r="D76" i="56456" s="1"/>
  <c r="E76" i="56456" s="1"/>
  <c r="F76" i="56456" s="1"/>
  <c r="G76" i="56456" s="1"/>
  <c r="H76" i="56456" s="1"/>
  <c r="I76" i="56456" s="1"/>
  <c r="J76" i="56456" s="1"/>
  <c r="K76" i="56456" s="1"/>
  <c r="L76" i="56456" s="1"/>
  <c r="M76" i="56456" s="1"/>
  <c r="C77" i="56456"/>
  <c r="D77" i="56456" s="1"/>
  <c r="E77" i="56456" s="1"/>
  <c r="F77" i="56456" s="1"/>
  <c r="G77" i="56456" s="1"/>
  <c r="H77" i="56456" s="1"/>
  <c r="I77" i="56456" s="1"/>
  <c r="J77" i="56456" s="1"/>
  <c r="K77" i="56456" s="1"/>
  <c r="L77" i="56456" s="1"/>
  <c r="M77" i="56456" s="1"/>
  <c r="B78" i="56456"/>
  <c r="C78" i="56456" s="1"/>
  <c r="B79" i="56456"/>
  <c r="C79" i="56456" s="1"/>
  <c r="B80" i="56456"/>
  <c r="C80" i="56456" s="1"/>
  <c r="B81" i="56456"/>
  <c r="C81" i="56456" s="1"/>
  <c r="C82" i="56456"/>
  <c r="D82" i="56456" s="1"/>
  <c r="C83" i="56456"/>
  <c r="D83" i="56456" s="1"/>
  <c r="E83" i="56456" s="1"/>
  <c r="F83" i="56456" s="1"/>
  <c r="G83" i="56456" s="1"/>
  <c r="H83" i="56456" s="1"/>
  <c r="I83" i="56456" s="1"/>
  <c r="J83" i="56456" s="1"/>
  <c r="K83" i="56456" s="1"/>
  <c r="L83" i="56456" s="1"/>
  <c r="M83" i="56456" s="1"/>
  <c r="C84" i="56456"/>
  <c r="D84" i="56456" s="1"/>
  <c r="C85" i="56456"/>
  <c r="D85" i="56456" s="1"/>
  <c r="E85" i="56456" s="1"/>
  <c r="F85" i="56456" s="1"/>
  <c r="G85" i="56456" s="1"/>
  <c r="H85" i="56456" s="1"/>
  <c r="I85" i="56456" s="1"/>
  <c r="J85" i="56456" s="1"/>
  <c r="K85" i="56456" s="1"/>
  <c r="L85" i="56456" s="1"/>
  <c r="M85" i="56456" s="1"/>
  <c r="B97" i="56456"/>
  <c r="C97" i="56456"/>
  <c r="B98" i="56456"/>
  <c r="B99" i="56456"/>
  <c r="D99" i="56456"/>
  <c r="F99" i="56456"/>
  <c r="H99" i="56456"/>
  <c r="J99" i="56456"/>
  <c r="B100" i="56456"/>
  <c r="D100" i="56456"/>
  <c r="F100" i="56456"/>
  <c r="H100" i="56456"/>
  <c r="J100" i="56456"/>
  <c r="L100" i="56456"/>
  <c r="B101" i="56456"/>
  <c r="B104" i="56456"/>
  <c r="B105" i="56456"/>
  <c r="B106" i="56456"/>
  <c r="B107" i="56456"/>
  <c r="B108" i="56456"/>
  <c r="B103" i="56456" l="1"/>
  <c r="L99" i="56456"/>
  <c r="N59" i="56456"/>
  <c r="L90" i="32"/>
  <c r="J90" i="32"/>
  <c r="H83" i="32"/>
  <c r="M90" i="32"/>
  <c r="I90" i="32"/>
  <c r="B94" i="56456"/>
  <c r="B96" i="56456"/>
  <c r="N61" i="56456"/>
  <c r="M81" i="32"/>
  <c r="L89" i="32"/>
  <c r="D88" i="32"/>
  <c r="H86" i="32"/>
  <c r="D85" i="32"/>
  <c r="L83" i="32"/>
  <c r="H82" i="32"/>
  <c r="L81" i="32"/>
  <c r="K90" i="32"/>
  <c r="B95" i="56456"/>
  <c r="H90" i="32"/>
  <c r="N42" i="32"/>
  <c r="N37" i="32"/>
  <c r="N66" i="32"/>
  <c r="C70" i="56456"/>
  <c r="C93" i="56456" s="1"/>
  <c r="B93" i="56456"/>
  <c r="N59" i="32"/>
  <c r="N60" i="56456"/>
  <c r="E74" i="56456"/>
  <c r="D97" i="56456"/>
  <c r="D98" i="56456"/>
  <c r="N63" i="32"/>
  <c r="N65" i="32"/>
  <c r="N58" i="32"/>
  <c r="N67" i="32"/>
  <c r="N61" i="32"/>
  <c r="N62" i="32"/>
  <c r="N64" i="32"/>
  <c r="N60" i="32"/>
  <c r="N40" i="32"/>
  <c r="N35" i="32"/>
  <c r="N43" i="32"/>
  <c r="N41" i="32"/>
  <c r="N38" i="32"/>
  <c r="N36" i="32"/>
  <c r="N39" i="32"/>
  <c r="N80" i="32"/>
  <c r="M100" i="56456"/>
  <c r="E82" i="56456"/>
  <c r="D106" i="56456"/>
  <c r="D80" i="56456"/>
  <c r="C104" i="56456"/>
  <c r="D81" i="56456"/>
  <c r="C105" i="56456"/>
  <c r="D79" i="56456"/>
  <c r="C103" i="56456"/>
  <c r="C108" i="56456"/>
  <c r="C107" i="56456"/>
  <c r="C106" i="56456"/>
  <c r="B102" i="56456"/>
  <c r="K100" i="56456"/>
  <c r="I100" i="56456"/>
  <c r="G100" i="56456"/>
  <c r="E100" i="56456"/>
  <c r="C100" i="56456"/>
  <c r="M99" i="56456"/>
  <c r="K99" i="56456"/>
  <c r="I99" i="56456"/>
  <c r="G99" i="56456"/>
  <c r="E99" i="56456"/>
  <c r="C99" i="56456"/>
  <c r="E98" i="56456"/>
  <c r="C98" i="56456"/>
  <c r="E84" i="56456"/>
  <c r="D107" i="56456"/>
  <c r="D108" i="56456"/>
  <c r="D78" i="56456"/>
  <c r="C101" i="56456"/>
  <c r="C102" i="56456"/>
  <c r="G71" i="56456"/>
  <c r="D72" i="56456"/>
  <c r="C95" i="56456"/>
  <c r="C96" i="56456"/>
  <c r="C94" i="56456" l="1"/>
  <c r="D70" i="56456"/>
  <c r="D93" i="56456" s="1"/>
  <c r="N83" i="32"/>
  <c r="N85" i="32"/>
  <c r="N82" i="32"/>
  <c r="N81" i="32"/>
  <c r="N84" i="32"/>
  <c r="F74" i="56456"/>
  <c r="E97" i="56456"/>
  <c r="E79" i="56456"/>
  <c r="D103" i="56456"/>
  <c r="E81" i="56456"/>
  <c r="D105" i="56456"/>
  <c r="E80" i="56456"/>
  <c r="D104" i="56456"/>
  <c r="F82" i="56456"/>
  <c r="E106" i="56456"/>
  <c r="E78" i="56456"/>
  <c r="D101" i="56456"/>
  <c r="D102" i="56456"/>
  <c r="F84" i="56456"/>
  <c r="E107" i="56456"/>
  <c r="E108" i="56456"/>
  <c r="E72" i="56456"/>
  <c r="D95" i="56456"/>
  <c r="D96" i="56456"/>
  <c r="H71" i="56456"/>
  <c r="E70" i="56456" l="1"/>
  <c r="E93" i="56456" s="1"/>
  <c r="D94" i="56456"/>
  <c r="F70" i="56456"/>
  <c r="F93" i="56456" s="1"/>
  <c r="G74" i="56456"/>
  <c r="F97" i="56456"/>
  <c r="F98" i="56456"/>
  <c r="G82" i="56456"/>
  <c r="F106" i="56456"/>
  <c r="F80" i="56456"/>
  <c r="E104" i="56456"/>
  <c r="F81" i="56456"/>
  <c r="E105" i="56456"/>
  <c r="F79" i="56456"/>
  <c r="E103" i="56456"/>
  <c r="G84" i="56456"/>
  <c r="F107" i="56456"/>
  <c r="F108" i="56456"/>
  <c r="F78" i="56456"/>
  <c r="E101" i="56456"/>
  <c r="E102" i="56456"/>
  <c r="I71" i="56456"/>
  <c r="F72" i="56456"/>
  <c r="E95" i="56456"/>
  <c r="E96" i="56456"/>
  <c r="E94" i="56456" l="1"/>
  <c r="G70" i="56456"/>
  <c r="G93" i="56456" s="1"/>
  <c r="F94" i="56456"/>
  <c r="H74" i="56456"/>
  <c r="G97" i="56456"/>
  <c r="G98" i="56456"/>
  <c r="G79" i="56456"/>
  <c r="F103" i="56456"/>
  <c r="G81" i="56456"/>
  <c r="F105" i="56456"/>
  <c r="G80" i="56456"/>
  <c r="F104" i="56456"/>
  <c r="H82" i="56456"/>
  <c r="G106" i="56456"/>
  <c r="G78" i="56456"/>
  <c r="F101" i="56456"/>
  <c r="F102" i="56456"/>
  <c r="H84" i="56456"/>
  <c r="G107" i="56456"/>
  <c r="G108" i="56456"/>
  <c r="G72" i="56456"/>
  <c r="F96" i="56456"/>
  <c r="F95" i="56456"/>
  <c r="J71" i="56456"/>
  <c r="H70" i="56456" l="1"/>
  <c r="H93" i="56456" s="1"/>
  <c r="G94" i="56456"/>
  <c r="I74" i="56456"/>
  <c r="H97" i="56456"/>
  <c r="H98" i="56456"/>
  <c r="I82" i="56456"/>
  <c r="H106" i="56456"/>
  <c r="H80" i="56456"/>
  <c r="G104" i="56456"/>
  <c r="H81" i="56456"/>
  <c r="G105" i="56456"/>
  <c r="H79" i="56456"/>
  <c r="G103" i="56456"/>
  <c r="I84" i="56456"/>
  <c r="H107" i="56456"/>
  <c r="H108" i="56456"/>
  <c r="H78" i="56456"/>
  <c r="G101" i="56456"/>
  <c r="G102" i="56456"/>
  <c r="K71" i="56456"/>
  <c r="H72" i="56456"/>
  <c r="G96" i="56456"/>
  <c r="G95" i="56456"/>
  <c r="I70" i="56456" l="1"/>
  <c r="I93" i="56456" s="1"/>
  <c r="H94" i="56456"/>
  <c r="J74" i="56456"/>
  <c r="I97" i="56456"/>
  <c r="I98" i="56456"/>
  <c r="I79" i="56456"/>
  <c r="H103" i="56456"/>
  <c r="I81" i="56456"/>
  <c r="H105" i="56456"/>
  <c r="I80" i="56456"/>
  <c r="H104" i="56456"/>
  <c r="J82" i="56456"/>
  <c r="I106" i="56456"/>
  <c r="I78" i="56456"/>
  <c r="H101" i="56456"/>
  <c r="H102" i="56456"/>
  <c r="J84" i="56456"/>
  <c r="I107" i="56456"/>
  <c r="I108" i="56456"/>
  <c r="I72" i="56456"/>
  <c r="H96" i="56456"/>
  <c r="H95" i="56456"/>
  <c r="L71" i="56456"/>
  <c r="J70" i="56456" l="1"/>
  <c r="J93" i="56456" s="1"/>
  <c r="I94" i="56456"/>
  <c r="K74" i="56456"/>
  <c r="J97" i="56456"/>
  <c r="J98" i="56456"/>
  <c r="K82" i="56456"/>
  <c r="J106" i="56456"/>
  <c r="J80" i="56456"/>
  <c r="I104" i="56456"/>
  <c r="J81" i="56456"/>
  <c r="I105" i="56456"/>
  <c r="J79" i="56456"/>
  <c r="I103" i="56456"/>
  <c r="K84" i="56456"/>
  <c r="J108" i="56456"/>
  <c r="J107" i="56456"/>
  <c r="J78" i="56456"/>
  <c r="I101" i="56456"/>
  <c r="I102" i="56456"/>
  <c r="M71" i="56456"/>
  <c r="J72" i="56456"/>
  <c r="I96" i="56456"/>
  <c r="I95" i="56456"/>
  <c r="K70" i="56456" l="1"/>
  <c r="K93" i="56456" s="1"/>
  <c r="J94" i="56456"/>
  <c r="L74" i="56456"/>
  <c r="K97" i="56456"/>
  <c r="K98" i="56456"/>
  <c r="K79" i="56456"/>
  <c r="J103" i="56456"/>
  <c r="K81" i="56456"/>
  <c r="J105" i="56456"/>
  <c r="K80" i="56456"/>
  <c r="J104" i="56456"/>
  <c r="L82" i="56456"/>
  <c r="K106" i="56456"/>
  <c r="K78" i="56456"/>
  <c r="J101" i="56456"/>
  <c r="J102" i="56456"/>
  <c r="L84" i="56456"/>
  <c r="K107" i="56456"/>
  <c r="K108" i="56456"/>
  <c r="K72" i="56456"/>
  <c r="J96" i="56456"/>
  <c r="J95" i="56456"/>
  <c r="L70" i="56456" l="1"/>
  <c r="L93" i="56456" s="1"/>
  <c r="K94" i="56456"/>
  <c r="M74" i="56456"/>
  <c r="L97" i="56456"/>
  <c r="L98" i="56456"/>
  <c r="M82" i="56456"/>
  <c r="M106" i="56456" s="1"/>
  <c r="L106" i="56456"/>
  <c r="L80" i="56456"/>
  <c r="K104" i="56456"/>
  <c r="L81" i="56456"/>
  <c r="K105" i="56456"/>
  <c r="L79" i="56456"/>
  <c r="K103" i="56456"/>
  <c r="M84" i="56456"/>
  <c r="L107" i="56456"/>
  <c r="L108" i="56456"/>
  <c r="L78" i="56456"/>
  <c r="K101" i="56456"/>
  <c r="K102" i="56456"/>
  <c r="L72" i="56456"/>
  <c r="K96" i="56456"/>
  <c r="K95" i="56456"/>
  <c r="M70" i="56456" l="1"/>
  <c r="M93" i="56456" s="1"/>
  <c r="L94" i="56456"/>
  <c r="M97" i="56456"/>
  <c r="M98" i="56456"/>
  <c r="M79" i="56456"/>
  <c r="L103" i="56456"/>
  <c r="M81" i="56456"/>
  <c r="M105" i="56456" s="1"/>
  <c r="L105" i="56456"/>
  <c r="M80" i="56456"/>
  <c r="L104" i="56456"/>
  <c r="M78" i="56456"/>
  <c r="L101" i="56456"/>
  <c r="L102" i="56456"/>
  <c r="M107" i="56456"/>
  <c r="M108" i="56456"/>
  <c r="M72" i="56456"/>
  <c r="L96" i="56456"/>
  <c r="L95" i="56456"/>
  <c r="M104" i="56456" l="1"/>
  <c r="M94" i="56456"/>
  <c r="M103" i="56456"/>
  <c r="M101" i="56456"/>
  <c r="M102" i="56456"/>
  <c r="M96" i="56456"/>
  <c r="M95" i="56456"/>
  <c r="N34" i="1" l="1"/>
  <c r="N32" i="36"/>
  <c r="B104" i="36"/>
  <c r="B80" i="36"/>
  <c r="B56" i="36"/>
  <c r="B108" i="1"/>
  <c r="B78" i="1"/>
  <c r="B124" i="1" s="1"/>
  <c r="C56" i="36" l="1"/>
  <c r="C120" i="36" s="1"/>
  <c r="B120" i="36"/>
  <c r="C78" i="1"/>
  <c r="C124" i="1" s="1"/>
  <c r="N33" i="56457"/>
  <c r="B53" i="56457"/>
  <c r="D56" i="36" l="1"/>
  <c r="D120" i="36" s="1"/>
  <c r="D78" i="1"/>
  <c r="D124" i="1" s="1"/>
  <c r="C53" i="56457"/>
  <c r="C72" i="56457" s="1"/>
  <c r="B72" i="56457"/>
  <c r="M105" i="36"/>
  <c r="L105" i="36"/>
  <c r="M81" i="36"/>
  <c r="L81" i="36"/>
  <c r="M35" i="1"/>
  <c r="M108" i="1" s="1"/>
  <c r="L35" i="1"/>
  <c r="L108" i="1" s="1"/>
  <c r="E56" i="36" l="1"/>
  <c r="E120" i="36" s="1"/>
  <c r="D53" i="56457"/>
  <c r="D72" i="56457" s="1"/>
  <c r="L109" i="1"/>
  <c r="M109" i="1"/>
  <c r="E78" i="1"/>
  <c r="E124" i="1" s="1"/>
  <c r="K105" i="36"/>
  <c r="K81" i="36"/>
  <c r="K35" i="1"/>
  <c r="K108" i="1" s="1"/>
  <c r="F56" i="36" l="1"/>
  <c r="F120" i="36" s="1"/>
  <c r="E53" i="56457"/>
  <c r="E72" i="56457" s="1"/>
  <c r="F78" i="1"/>
  <c r="F124" i="1" s="1"/>
  <c r="K109" i="1"/>
  <c r="I105" i="36"/>
  <c r="J105" i="36"/>
  <c r="J81" i="36"/>
  <c r="J109" i="1"/>
  <c r="F53" i="56457" l="1"/>
  <c r="F72" i="56457" s="1"/>
  <c r="G56" i="36"/>
  <c r="G120" i="36" s="1"/>
  <c r="G78" i="1"/>
  <c r="G124" i="1" s="1"/>
  <c r="G53" i="56457"/>
  <c r="G72" i="56457" s="1"/>
  <c r="I81" i="36"/>
  <c r="I35" i="1"/>
  <c r="H56" i="36" l="1"/>
  <c r="H120" i="36" s="1"/>
  <c r="H78" i="1"/>
  <c r="H124" i="1" s="1"/>
  <c r="I109" i="1"/>
  <c r="I108" i="1"/>
  <c r="H53" i="56457"/>
  <c r="H72" i="56457" s="1"/>
  <c r="H105" i="36"/>
  <c r="H81" i="36"/>
  <c r="H109" i="1"/>
  <c r="I56" i="36" l="1"/>
  <c r="I120" i="36" s="1"/>
  <c r="I78" i="1"/>
  <c r="I124" i="1" s="1"/>
  <c r="I53" i="56457"/>
  <c r="I72" i="56457" s="1"/>
  <c r="G105" i="36"/>
  <c r="G81" i="36"/>
  <c r="G109" i="1"/>
  <c r="J56" i="36" l="1"/>
  <c r="K56" i="36" s="1"/>
  <c r="K120" i="36" s="1"/>
  <c r="J78" i="1"/>
  <c r="J124" i="1" s="1"/>
  <c r="J53" i="56457"/>
  <c r="J72" i="56457" s="1"/>
  <c r="F105" i="36"/>
  <c r="F81" i="36"/>
  <c r="F109" i="1"/>
  <c r="J120" i="36" l="1"/>
  <c r="L56" i="36"/>
  <c r="L120" i="36" s="1"/>
  <c r="K78" i="1"/>
  <c r="K124" i="1" s="1"/>
  <c r="K53" i="56457"/>
  <c r="K72" i="56457" s="1"/>
  <c r="E105" i="36"/>
  <c r="E81" i="36"/>
  <c r="E109" i="1"/>
  <c r="M56" i="36" l="1"/>
  <c r="M120" i="36" s="1"/>
  <c r="L78" i="1"/>
  <c r="L124" i="1" s="1"/>
  <c r="L53" i="56457"/>
  <c r="L72" i="56457" s="1"/>
  <c r="D105" i="36"/>
  <c r="D81" i="36"/>
  <c r="D109" i="1"/>
  <c r="M78" i="1" l="1"/>
  <c r="M124" i="1" s="1"/>
  <c r="M53" i="56457"/>
  <c r="M72" i="56457" s="1"/>
  <c r="C105" i="36"/>
  <c r="C81" i="36"/>
  <c r="B81" i="36"/>
  <c r="B109" i="1"/>
  <c r="C109" i="1"/>
  <c r="N34" i="56457"/>
  <c r="N33" i="36" l="1"/>
  <c r="B105" i="36" l="1"/>
  <c r="B57" i="36"/>
  <c r="C57" i="36" l="1"/>
  <c r="C121" i="36" s="1"/>
  <c r="B121" i="36"/>
  <c r="B54" i="56457"/>
  <c r="B73" i="56457" s="1"/>
  <c r="D57" i="36" l="1"/>
  <c r="D121" i="36" s="1"/>
  <c r="C54" i="56457"/>
  <c r="C73" i="56457" s="1"/>
  <c r="B79" i="1"/>
  <c r="B125" i="1" s="1"/>
  <c r="N35" i="1"/>
  <c r="E57" i="36" l="1"/>
  <c r="E121" i="36" s="1"/>
  <c r="D54" i="56457"/>
  <c r="D73" i="56457" s="1"/>
  <c r="C79" i="1"/>
  <c r="C125" i="1" s="1"/>
  <c r="M106" i="36"/>
  <c r="M82" i="36"/>
  <c r="M110" i="1"/>
  <c r="F57" i="36" l="1"/>
  <c r="F121" i="36" s="1"/>
  <c r="E54" i="56457"/>
  <c r="E73" i="56457" s="1"/>
  <c r="D79" i="1"/>
  <c r="D125" i="1" s="1"/>
  <c r="L106" i="36"/>
  <c r="L82" i="36"/>
  <c r="L110" i="1"/>
  <c r="G57" i="36" l="1"/>
  <c r="G121" i="36" s="1"/>
  <c r="F54" i="56457"/>
  <c r="F73" i="56457" s="1"/>
  <c r="E79" i="1"/>
  <c r="E125" i="1" s="1"/>
  <c r="K106" i="36"/>
  <c r="K82" i="36"/>
  <c r="H57" i="36" l="1"/>
  <c r="H121" i="36" s="1"/>
  <c r="G54" i="56457"/>
  <c r="G73" i="56457" s="1"/>
  <c r="F79" i="1"/>
  <c r="F125" i="1" s="1"/>
  <c r="K110" i="1"/>
  <c r="I57" i="36" l="1"/>
  <c r="I121" i="36" s="1"/>
  <c r="H54" i="56457"/>
  <c r="H73" i="56457" s="1"/>
  <c r="G79" i="1"/>
  <c r="G125" i="1" s="1"/>
  <c r="J106" i="36"/>
  <c r="J82" i="36"/>
  <c r="J110" i="1"/>
  <c r="J57" i="36" l="1"/>
  <c r="K57" i="36" s="1"/>
  <c r="I54" i="56457"/>
  <c r="I73" i="56457" s="1"/>
  <c r="H79" i="1"/>
  <c r="H125" i="1" s="1"/>
  <c r="I106" i="36"/>
  <c r="I82" i="36"/>
  <c r="I110" i="1"/>
  <c r="J121" i="36" l="1"/>
  <c r="J54" i="56457"/>
  <c r="J73" i="56457" s="1"/>
  <c r="L57" i="36"/>
  <c r="K121" i="36"/>
  <c r="I79" i="1"/>
  <c r="H106" i="36"/>
  <c r="H82" i="36"/>
  <c r="H110" i="1"/>
  <c r="K54" i="56457" l="1"/>
  <c r="K73" i="56457" s="1"/>
  <c r="M57" i="36"/>
  <c r="L121" i="36"/>
  <c r="J79" i="1"/>
  <c r="I125" i="1"/>
  <c r="L54" i="56457"/>
  <c r="L73" i="56457" s="1"/>
  <c r="G106" i="36"/>
  <c r="G82" i="36"/>
  <c r="G110" i="1"/>
  <c r="M121" i="36" l="1"/>
  <c r="K79" i="1"/>
  <c r="J125" i="1"/>
  <c r="M54" i="56457"/>
  <c r="M73" i="56457" s="1"/>
  <c r="F106" i="36"/>
  <c r="F82" i="36"/>
  <c r="F110" i="1"/>
  <c r="L79" i="1" l="1"/>
  <c r="K125" i="1"/>
  <c r="E106" i="36"/>
  <c r="E82" i="36"/>
  <c r="E110" i="1"/>
  <c r="M79" i="1" l="1"/>
  <c r="L125" i="1"/>
  <c r="D106" i="36"/>
  <c r="D82" i="36"/>
  <c r="D110" i="1"/>
  <c r="M125" i="1" l="1"/>
  <c r="C106" i="36"/>
  <c r="B106" i="36"/>
  <c r="C82" i="36"/>
  <c r="B82" i="36"/>
  <c r="C110" i="1"/>
  <c r="B80" i="1"/>
  <c r="C80" i="1" l="1"/>
  <c r="B126" i="1"/>
  <c r="N34" i="36"/>
  <c r="B58" i="36"/>
  <c r="B122" i="36" s="1"/>
  <c r="B110" i="1"/>
  <c r="B74" i="56457"/>
  <c r="N36" i="1"/>
  <c r="D80" i="1" l="1"/>
  <c r="C126" i="1"/>
  <c r="C74" i="56457"/>
  <c r="C58" i="36"/>
  <c r="C122" i="36" s="1"/>
  <c r="M107" i="36"/>
  <c r="M83" i="36"/>
  <c r="M111" i="1"/>
  <c r="L107" i="36"/>
  <c r="L83" i="36"/>
  <c r="L111" i="1"/>
  <c r="K107" i="36"/>
  <c r="K83" i="36"/>
  <c r="K111" i="1"/>
  <c r="B56" i="1"/>
  <c r="D56" i="1"/>
  <c r="E56" i="1"/>
  <c r="F56" i="1"/>
  <c r="G56" i="1"/>
  <c r="H56" i="1"/>
  <c r="I56" i="1"/>
  <c r="J56" i="1"/>
  <c r="K56" i="1"/>
  <c r="L56" i="1"/>
  <c r="M56" i="1"/>
  <c r="C56" i="1"/>
  <c r="B96" i="1"/>
  <c r="C96" i="1" s="1"/>
  <c r="D96" i="1" s="1"/>
  <c r="E96" i="1" s="1"/>
  <c r="F96" i="1" s="1"/>
  <c r="G96" i="1" s="1"/>
  <c r="H96" i="1" s="1"/>
  <c r="I96" i="1" s="1"/>
  <c r="J96" i="1" s="1"/>
  <c r="K96" i="1" s="1"/>
  <c r="L96" i="1" s="1"/>
  <c r="M96" i="1" s="1"/>
  <c r="B97" i="1"/>
  <c r="C97" i="1" s="1"/>
  <c r="D97" i="1" s="1"/>
  <c r="E97" i="1" s="1"/>
  <c r="F97" i="1" s="1"/>
  <c r="G97" i="1" s="1"/>
  <c r="H97" i="1" s="1"/>
  <c r="I97" i="1" s="1"/>
  <c r="J97" i="1" s="1"/>
  <c r="K97" i="1" s="1"/>
  <c r="L97" i="1" s="1"/>
  <c r="M97" i="1" s="1"/>
  <c r="B98" i="1"/>
  <c r="C98" i="1" s="1"/>
  <c r="D98" i="1" s="1"/>
  <c r="E98" i="1" s="1"/>
  <c r="F98" i="1" s="1"/>
  <c r="G98" i="1" s="1"/>
  <c r="H98" i="1" s="1"/>
  <c r="I98" i="1" s="1"/>
  <c r="J98" i="1" s="1"/>
  <c r="K98" i="1" s="1"/>
  <c r="L98" i="1" s="1"/>
  <c r="M98" i="1" s="1"/>
  <c r="B99" i="1"/>
  <c r="B95" i="1"/>
  <c r="C95" i="1" s="1"/>
  <c r="D95" i="1" s="1"/>
  <c r="E95" i="1" s="1"/>
  <c r="F95" i="1" s="1"/>
  <c r="G95" i="1" s="1"/>
  <c r="H95" i="1" s="1"/>
  <c r="I95" i="1" s="1"/>
  <c r="J95" i="1" s="1"/>
  <c r="K95" i="1" s="1"/>
  <c r="L95" i="1" s="1"/>
  <c r="M95" i="1" s="1"/>
  <c r="C99" i="1"/>
  <c r="D99" i="1" s="1"/>
  <c r="E99" i="1" s="1"/>
  <c r="F99" i="1" s="1"/>
  <c r="G99" i="1" s="1"/>
  <c r="H99" i="1" s="1"/>
  <c r="I99" i="1" s="1"/>
  <c r="J99" i="1" s="1"/>
  <c r="K99" i="1" s="1"/>
  <c r="L99" i="1" s="1"/>
  <c r="M99" i="1" s="1"/>
  <c r="G5" i="109"/>
  <c r="N5" i="109" s="1"/>
  <c r="N6" i="109"/>
  <c r="N7" i="109"/>
  <c r="N8" i="109"/>
  <c r="N9" i="109"/>
  <c r="N14" i="109"/>
  <c r="N15" i="109"/>
  <c r="N16" i="109"/>
  <c r="N17" i="109"/>
  <c r="N18" i="109"/>
  <c r="B25" i="109"/>
  <c r="O25" i="109" s="1"/>
  <c r="C25" i="109"/>
  <c r="D25" i="109"/>
  <c r="E25" i="109"/>
  <c r="F25" i="109"/>
  <c r="G25" i="109"/>
  <c r="H25" i="109"/>
  <c r="I25" i="109"/>
  <c r="J25" i="109"/>
  <c r="K25" i="109"/>
  <c r="L25" i="109"/>
  <c r="M25" i="109"/>
  <c r="N25" i="109"/>
  <c r="B26" i="109"/>
  <c r="C26" i="109"/>
  <c r="N26" i="109" s="1"/>
  <c r="D26" i="109"/>
  <c r="O26" i="109" s="1"/>
  <c r="N46" i="109" s="1"/>
  <c r="E26" i="109"/>
  <c r="F26" i="109"/>
  <c r="G26" i="109"/>
  <c r="H26" i="109"/>
  <c r="I26" i="109"/>
  <c r="J26" i="109"/>
  <c r="K26" i="109"/>
  <c r="L26" i="109"/>
  <c r="M26" i="109"/>
  <c r="B27" i="109"/>
  <c r="C27" i="109"/>
  <c r="D27" i="109"/>
  <c r="E27" i="109"/>
  <c r="F27" i="109"/>
  <c r="G27" i="109"/>
  <c r="H27" i="109"/>
  <c r="I27" i="109"/>
  <c r="J27" i="109"/>
  <c r="K27" i="109"/>
  <c r="L27" i="109"/>
  <c r="M27" i="109"/>
  <c r="N27" i="109"/>
  <c r="B28" i="109"/>
  <c r="N28" i="109" s="1"/>
  <c r="C28" i="109"/>
  <c r="D28" i="109"/>
  <c r="E28" i="109"/>
  <c r="F28" i="109"/>
  <c r="G28" i="109"/>
  <c r="H28" i="109"/>
  <c r="I28" i="109"/>
  <c r="J28" i="109"/>
  <c r="K28" i="109"/>
  <c r="L28" i="109"/>
  <c r="M28" i="109"/>
  <c r="B29" i="109"/>
  <c r="C29" i="109"/>
  <c r="N29" i="109" s="1"/>
  <c r="D29" i="109"/>
  <c r="E29" i="109"/>
  <c r="F29" i="109"/>
  <c r="G29" i="109"/>
  <c r="H29" i="109"/>
  <c r="I29" i="109"/>
  <c r="J29" i="109"/>
  <c r="K29" i="109"/>
  <c r="L29" i="109"/>
  <c r="M29" i="109"/>
  <c r="N35" i="109"/>
  <c r="O35" i="109"/>
  <c r="O41" i="109" s="1"/>
  <c r="L60" i="109" s="1"/>
  <c r="N36" i="109"/>
  <c r="O36" i="109"/>
  <c r="N37" i="109"/>
  <c r="N38" i="109"/>
  <c r="N39" i="109"/>
  <c r="B45" i="109"/>
  <c r="C45" i="109"/>
  <c r="D45" i="109"/>
  <c r="E45" i="109"/>
  <c r="F45" i="109"/>
  <c r="G45" i="109"/>
  <c r="H45" i="109"/>
  <c r="I45" i="109"/>
  <c r="J45" i="109"/>
  <c r="K45" i="109"/>
  <c r="L45" i="109"/>
  <c r="M45" i="109"/>
  <c r="B46" i="109"/>
  <c r="C46" i="109"/>
  <c r="D46" i="109"/>
  <c r="D54" i="109" s="1"/>
  <c r="E46" i="109"/>
  <c r="F46" i="109"/>
  <c r="G46" i="109"/>
  <c r="H46" i="109"/>
  <c r="H54" i="109" s="1"/>
  <c r="I46" i="109"/>
  <c r="J46" i="109"/>
  <c r="K46" i="109"/>
  <c r="L46" i="109"/>
  <c r="M46" i="109"/>
  <c r="B47" i="109"/>
  <c r="C47" i="109"/>
  <c r="D47" i="109"/>
  <c r="E47" i="109"/>
  <c r="F47" i="109"/>
  <c r="G47" i="109"/>
  <c r="H47" i="109"/>
  <c r="I47" i="109"/>
  <c r="J47" i="109"/>
  <c r="K47" i="109"/>
  <c r="L47" i="109"/>
  <c r="M47" i="109"/>
  <c r="B48" i="109"/>
  <c r="C48" i="109"/>
  <c r="D48" i="109"/>
  <c r="E48" i="109"/>
  <c r="F48" i="109"/>
  <c r="G48" i="109"/>
  <c r="H48" i="109"/>
  <c r="I48" i="109"/>
  <c r="J48" i="109"/>
  <c r="K48" i="109"/>
  <c r="L48" i="109"/>
  <c r="M48" i="109"/>
  <c r="B49" i="109"/>
  <c r="C49" i="109"/>
  <c r="D49" i="109"/>
  <c r="E49" i="109"/>
  <c r="F49" i="109"/>
  <c r="G49" i="109"/>
  <c r="H49" i="109"/>
  <c r="I49" i="109"/>
  <c r="J49" i="109"/>
  <c r="K49" i="109"/>
  <c r="L49" i="109"/>
  <c r="M49" i="109"/>
  <c r="B52" i="109"/>
  <c r="N52" i="109" s="1"/>
  <c r="C52" i="109"/>
  <c r="D52" i="109"/>
  <c r="E52" i="109"/>
  <c r="F52" i="109"/>
  <c r="G52" i="109"/>
  <c r="H52" i="109"/>
  <c r="I52" i="109"/>
  <c r="J52" i="109"/>
  <c r="K52" i="109"/>
  <c r="B54" i="109"/>
  <c r="N54" i="109" s="1"/>
  <c r="C54" i="109"/>
  <c r="E54" i="109"/>
  <c r="F54" i="109"/>
  <c r="G54" i="109"/>
  <c r="I54" i="109"/>
  <c r="J54" i="109"/>
  <c r="K54" i="109"/>
  <c r="O54" i="109"/>
  <c r="B11" i="111"/>
  <c r="C11" i="111"/>
  <c r="D11" i="111"/>
  <c r="E11" i="111"/>
  <c r="F11" i="111"/>
  <c r="G11" i="111"/>
  <c r="H11" i="111"/>
  <c r="I11" i="111"/>
  <c r="J11" i="111"/>
  <c r="K11" i="111"/>
  <c r="L11" i="111"/>
  <c r="M11" i="111"/>
  <c r="N11" i="111"/>
  <c r="O11" i="111"/>
  <c r="P11" i="111"/>
  <c r="Q11" i="111"/>
  <c r="R11" i="111"/>
  <c r="S11" i="111"/>
  <c r="T11" i="111"/>
  <c r="U11" i="111"/>
  <c r="V11" i="111"/>
  <c r="Q70" i="111"/>
  <c r="R70" i="111"/>
  <c r="S70" i="111"/>
  <c r="T70" i="111"/>
  <c r="U70" i="111"/>
  <c r="V70" i="111"/>
  <c r="W70" i="111"/>
  <c r="X70" i="111"/>
  <c r="Y70" i="111"/>
  <c r="Z70" i="111"/>
  <c r="AA70" i="111"/>
  <c r="AB70" i="111"/>
  <c r="Q74" i="111"/>
  <c r="R74" i="111"/>
  <c r="S74" i="111"/>
  <c r="T74" i="111"/>
  <c r="U74" i="111"/>
  <c r="V74" i="111"/>
  <c r="W74" i="111"/>
  <c r="X74" i="111"/>
  <c r="Y74" i="111"/>
  <c r="Z74" i="111"/>
  <c r="AA74" i="111"/>
  <c r="AB74" i="111"/>
  <c r="B150" i="111"/>
  <c r="C150" i="111"/>
  <c r="D150" i="111"/>
  <c r="E150" i="111"/>
  <c r="B153" i="111"/>
  <c r="C153" i="111"/>
  <c r="C154" i="111" s="1"/>
  <c r="C162" i="111" s="1"/>
  <c r="C163" i="111" s="1"/>
  <c r="D153" i="111"/>
  <c r="E153" i="111"/>
  <c r="B154" i="111"/>
  <c r="D154" i="111"/>
  <c r="E154" i="111"/>
  <c r="B161" i="111"/>
  <c r="C161" i="111"/>
  <c r="D161" i="111"/>
  <c r="D162" i="111" s="1"/>
  <c r="D163" i="111" s="1"/>
  <c r="E161" i="111"/>
  <c r="B162" i="111"/>
  <c r="E162" i="111"/>
  <c r="B163" i="111"/>
  <c r="E163" i="111"/>
  <c r="B197" i="111"/>
  <c r="C197" i="111"/>
  <c r="D197" i="111"/>
  <c r="E197" i="111"/>
  <c r="F197" i="111"/>
  <c r="G197" i="111"/>
  <c r="H197" i="111"/>
  <c r="I197" i="111"/>
  <c r="J197" i="111"/>
  <c r="K197" i="111"/>
  <c r="L197" i="111"/>
  <c r="M197" i="111"/>
  <c r="B203" i="111"/>
  <c r="C203" i="111"/>
  <c r="D203" i="111"/>
  <c r="E203" i="111"/>
  <c r="F203" i="111"/>
  <c r="B244" i="111"/>
  <c r="C244" i="111"/>
  <c r="D244" i="111"/>
  <c r="E244" i="111"/>
  <c r="F244" i="111"/>
  <c r="G244" i="111"/>
  <c r="H244" i="111"/>
  <c r="I244" i="111"/>
  <c r="J244" i="111"/>
  <c r="K244" i="111"/>
  <c r="L244" i="111"/>
  <c r="M244" i="111"/>
  <c r="B250" i="111"/>
  <c r="C250" i="111"/>
  <c r="D250" i="111"/>
  <c r="E250" i="111"/>
  <c r="F250" i="111"/>
  <c r="B292" i="111"/>
  <c r="C292" i="111"/>
  <c r="D292" i="111"/>
  <c r="E292" i="111"/>
  <c r="F292" i="111"/>
  <c r="G292" i="111"/>
  <c r="H292" i="111"/>
  <c r="I292" i="111"/>
  <c r="J292" i="111"/>
  <c r="K292" i="111"/>
  <c r="L292" i="111"/>
  <c r="M292" i="111"/>
  <c r="B298" i="111"/>
  <c r="C298" i="111"/>
  <c r="D298" i="111"/>
  <c r="E298" i="111"/>
  <c r="F298" i="111"/>
  <c r="B354" i="111"/>
  <c r="C354" i="111"/>
  <c r="D354" i="111"/>
  <c r="B392" i="111"/>
  <c r="C392" i="111"/>
  <c r="D392" i="111"/>
  <c r="E392" i="111"/>
  <c r="F392" i="111"/>
  <c r="G392" i="111"/>
  <c r="H392" i="111"/>
  <c r="I392" i="111"/>
  <c r="J392" i="111"/>
  <c r="G45" i="1"/>
  <c r="G44" i="32" s="1"/>
  <c r="N35" i="36"/>
  <c r="N36" i="36"/>
  <c r="N37" i="36"/>
  <c r="N38" i="36"/>
  <c r="N39" i="36"/>
  <c r="N40" i="36"/>
  <c r="N41" i="36"/>
  <c r="N42" i="36"/>
  <c r="N43" i="36"/>
  <c r="N44" i="36"/>
  <c r="N45" i="36"/>
  <c r="N46" i="36"/>
  <c r="N47" i="36"/>
  <c r="B59" i="36"/>
  <c r="B123" i="36" s="1"/>
  <c r="C60" i="36"/>
  <c r="D60" i="36" s="1"/>
  <c r="B61" i="36"/>
  <c r="C61" i="36" s="1"/>
  <c r="C62" i="36"/>
  <c r="D62" i="36" s="1"/>
  <c r="E62" i="36" s="1"/>
  <c r="C63" i="36"/>
  <c r="D63" i="36" s="1"/>
  <c r="B64" i="36"/>
  <c r="C64" i="36" s="1"/>
  <c r="B65" i="36"/>
  <c r="C65" i="36" s="1"/>
  <c r="D65" i="36" s="1"/>
  <c r="E65" i="36" s="1"/>
  <c r="F65" i="36" s="1"/>
  <c r="G65" i="36" s="1"/>
  <c r="H65" i="36" s="1"/>
  <c r="I65" i="36" s="1"/>
  <c r="J65" i="36" s="1"/>
  <c r="K65" i="36" s="1"/>
  <c r="L65" i="36" s="1"/>
  <c r="M65" i="36" s="1"/>
  <c r="C66" i="36"/>
  <c r="D66" i="36" s="1"/>
  <c r="E66" i="36" s="1"/>
  <c r="F66" i="36" s="1"/>
  <c r="G66" i="36" s="1"/>
  <c r="H66" i="36" s="1"/>
  <c r="I66" i="36" s="1"/>
  <c r="J66" i="36" s="1"/>
  <c r="K66" i="36" s="1"/>
  <c r="L66" i="36" s="1"/>
  <c r="M66" i="36" s="1"/>
  <c r="C67" i="36"/>
  <c r="D67" i="36" s="1"/>
  <c r="E67" i="36" s="1"/>
  <c r="F67" i="36" s="1"/>
  <c r="G67" i="36" s="1"/>
  <c r="H67" i="36" s="1"/>
  <c r="I67" i="36" s="1"/>
  <c r="J67" i="36" s="1"/>
  <c r="K67" i="36" s="1"/>
  <c r="L67" i="36" s="1"/>
  <c r="M67" i="36" s="1"/>
  <c r="C68" i="36"/>
  <c r="D68" i="36" s="1"/>
  <c r="E68" i="36" s="1"/>
  <c r="F68" i="36" s="1"/>
  <c r="G68" i="36" s="1"/>
  <c r="H68" i="36" s="1"/>
  <c r="I68" i="36" s="1"/>
  <c r="J68" i="36" s="1"/>
  <c r="K68" i="36" s="1"/>
  <c r="L68" i="36" s="1"/>
  <c r="M68" i="36" s="1"/>
  <c r="C69" i="36"/>
  <c r="D69" i="36" s="1"/>
  <c r="E69" i="36" s="1"/>
  <c r="F69" i="36" s="1"/>
  <c r="G69" i="36" s="1"/>
  <c r="H69" i="36" s="1"/>
  <c r="I69" i="36" s="1"/>
  <c r="J69" i="36" s="1"/>
  <c r="K69" i="36" s="1"/>
  <c r="L69" i="36" s="1"/>
  <c r="M69" i="36" s="1"/>
  <c r="C70" i="36"/>
  <c r="D70" i="36" s="1"/>
  <c r="E70" i="36" s="1"/>
  <c r="F70" i="36" s="1"/>
  <c r="G70" i="36" s="1"/>
  <c r="H70" i="36" s="1"/>
  <c r="I70" i="36" s="1"/>
  <c r="J70" i="36" s="1"/>
  <c r="K70" i="36" s="1"/>
  <c r="L70" i="36" s="1"/>
  <c r="M70" i="36" s="1"/>
  <c r="C71" i="36"/>
  <c r="D71" i="36" s="1"/>
  <c r="E71" i="36" s="1"/>
  <c r="F71" i="36" s="1"/>
  <c r="G71" i="36" s="1"/>
  <c r="H71" i="36" s="1"/>
  <c r="I71" i="36" s="1"/>
  <c r="J71" i="36" s="1"/>
  <c r="K71" i="36" s="1"/>
  <c r="L71" i="36" s="1"/>
  <c r="M71" i="36" s="1"/>
  <c r="B83" i="36"/>
  <c r="C83" i="36"/>
  <c r="D83" i="36"/>
  <c r="E83" i="36"/>
  <c r="F83" i="36"/>
  <c r="G83" i="36"/>
  <c r="H83" i="36"/>
  <c r="I83" i="36"/>
  <c r="J83" i="36"/>
  <c r="B84" i="36"/>
  <c r="C84" i="36"/>
  <c r="D84" i="36"/>
  <c r="E84" i="36"/>
  <c r="F84" i="36"/>
  <c r="G84" i="36"/>
  <c r="H84" i="36"/>
  <c r="I84" i="36"/>
  <c r="J84" i="36"/>
  <c r="K84" i="36"/>
  <c r="L84" i="36"/>
  <c r="M84" i="36"/>
  <c r="B85" i="36"/>
  <c r="C85" i="36"/>
  <c r="D85" i="36"/>
  <c r="E85" i="36"/>
  <c r="F85" i="36"/>
  <c r="G85" i="36"/>
  <c r="H85" i="36"/>
  <c r="I85" i="36"/>
  <c r="J85" i="36"/>
  <c r="K85" i="36"/>
  <c r="L85" i="36"/>
  <c r="M85" i="36"/>
  <c r="B86" i="36"/>
  <c r="C86" i="36"/>
  <c r="D86" i="36"/>
  <c r="E86" i="36"/>
  <c r="F86" i="36"/>
  <c r="G86" i="36"/>
  <c r="H86" i="36"/>
  <c r="I86" i="36"/>
  <c r="J86" i="36"/>
  <c r="K86" i="36"/>
  <c r="L86" i="36"/>
  <c r="M86" i="36"/>
  <c r="B87" i="36"/>
  <c r="C87" i="36"/>
  <c r="D87" i="36"/>
  <c r="E87" i="36"/>
  <c r="F87" i="36"/>
  <c r="G87" i="36"/>
  <c r="H87" i="36"/>
  <c r="I87" i="36"/>
  <c r="J87" i="36"/>
  <c r="K87" i="36"/>
  <c r="L87" i="36"/>
  <c r="M87" i="36"/>
  <c r="B88" i="36"/>
  <c r="C88" i="36"/>
  <c r="D88" i="36"/>
  <c r="E88" i="36"/>
  <c r="F88" i="36"/>
  <c r="G88" i="36"/>
  <c r="H88" i="36"/>
  <c r="I88" i="36"/>
  <c r="J88" i="36"/>
  <c r="K88" i="36"/>
  <c r="L88" i="36"/>
  <c r="M88" i="36"/>
  <c r="B89" i="36"/>
  <c r="C89" i="36"/>
  <c r="D89" i="36"/>
  <c r="E89" i="36"/>
  <c r="F89" i="36"/>
  <c r="G89" i="36"/>
  <c r="H89" i="36"/>
  <c r="I89" i="36"/>
  <c r="J89" i="36"/>
  <c r="K89" i="36"/>
  <c r="L89" i="36"/>
  <c r="M89" i="36"/>
  <c r="B90" i="36"/>
  <c r="C90" i="36"/>
  <c r="D90" i="36"/>
  <c r="E90" i="36"/>
  <c r="F90" i="36"/>
  <c r="G90" i="36"/>
  <c r="H90" i="36"/>
  <c r="I90" i="36"/>
  <c r="J90" i="36"/>
  <c r="K90" i="36"/>
  <c r="L90" i="36"/>
  <c r="M90" i="36"/>
  <c r="B91" i="36"/>
  <c r="C91" i="36"/>
  <c r="D91" i="36"/>
  <c r="E91" i="36"/>
  <c r="F91" i="36"/>
  <c r="G91" i="36"/>
  <c r="H91" i="36"/>
  <c r="I91" i="36"/>
  <c r="J91" i="36"/>
  <c r="K91" i="36"/>
  <c r="L91" i="36"/>
  <c r="M91" i="36"/>
  <c r="B92" i="36"/>
  <c r="C92" i="36"/>
  <c r="D92" i="36"/>
  <c r="E92" i="36"/>
  <c r="F92" i="36"/>
  <c r="G92" i="36"/>
  <c r="H92" i="36"/>
  <c r="I92" i="36"/>
  <c r="J92" i="36"/>
  <c r="K92" i="36"/>
  <c r="L92" i="36"/>
  <c r="M92" i="36"/>
  <c r="C93" i="36"/>
  <c r="D93" i="36"/>
  <c r="E93" i="36"/>
  <c r="F93" i="36"/>
  <c r="G93" i="36"/>
  <c r="H93" i="36"/>
  <c r="I93" i="36"/>
  <c r="J93" i="36"/>
  <c r="K93" i="36"/>
  <c r="L93" i="36"/>
  <c r="M93" i="36"/>
  <c r="C94" i="36"/>
  <c r="D94" i="36"/>
  <c r="E94" i="36"/>
  <c r="F94" i="36"/>
  <c r="G94" i="36"/>
  <c r="H94" i="36"/>
  <c r="I94" i="36"/>
  <c r="J94" i="36"/>
  <c r="K94" i="36"/>
  <c r="L94" i="36"/>
  <c r="M94" i="36"/>
  <c r="C95" i="36"/>
  <c r="D95" i="36"/>
  <c r="E95" i="36"/>
  <c r="F95" i="36"/>
  <c r="G95" i="36"/>
  <c r="H95" i="36"/>
  <c r="I95" i="36"/>
  <c r="J95" i="36"/>
  <c r="K95" i="36"/>
  <c r="L95" i="36"/>
  <c r="M95" i="36"/>
  <c r="B107" i="36"/>
  <c r="C107" i="36"/>
  <c r="D107" i="36"/>
  <c r="E107" i="36"/>
  <c r="F107" i="36"/>
  <c r="G107" i="36"/>
  <c r="H107" i="36"/>
  <c r="I107" i="36"/>
  <c r="J107" i="36"/>
  <c r="B108" i="36"/>
  <c r="C108" i="36"/>
  <c r="D108" i="36"/>
  <c r="E108" i="36"/>
  <c r="F108" i="36"/>
  <c r="G108" i="36"/>
  <c r="H108" i="36"/>
  <c r="I108" i="36"/>
  <c r="J108" i="36"/>
  <c r="K108" i="36"/>
  <c r="L108" i="36"/>
  <c r="M108" i="36"/>
  <c r="B109" i="36"/>
  <c r="C109" i="36"/>
  <c r="D109" i="36"/>
  <c r="E109" i="36"/>
  <c r="F109" i="36"/>
  <c r="G109" i="36"/>
  <c r="H109" i="36"/>
  <c r="I109" i="36"/>
  <c r="J109" i="36"/>
  <c r="K109" i="36"/>
  <c r="L109" i="36"/>
  <c r="M109" i="36"/>
  <c r="B110" i="36"/>
  <c r="C110" i="36"/>
  <c r="D110" i="36"/>
  <c r="E110" i="36"/>
  <c r="F110" i="36"/>
  <c r="G110" i="36"/>
  <c r="H110" i="36"/>
  <c r="I110" i="36"/>
  <c r="J110" i="36"/>
  <c r="K110" i="36"/>
  <c r="L110" i="36"/>
  <c r="M110" i="36"/>
  <c r="B111" i="36"/>
  <c r="C111" i="36"/>
  <c r="D111" i="36"/>
  <c r="E111" i="36"/>
  <c r="F111" i="36"/>
  <c r="G111" i="36"/>
  <c r="H111" i="36"/>
  <c r="I111" i="36"/>
  <c r="J111" i="36"/>
  <c r="K111" i="36"/>
  <c r="L111" i="36"/>
  <c r="M111" i="36"/>
  <c r="B112" i="36"/>
  <c r="C112" i="36"/>
  <c r="D112" i="36"/>
  <c r="E112" i="36"/>
  <c r="F112" i="36"/>
  <c r="G112" i="36"/>
  <c r="H112" i="36"/>
  <c r="I112" i="36"/>
  <c r="J112" i="36"/>
  <c r="K112" i="36"/>
  <c r="L112" i="36"/>
  <c r="M112" i="36"/>
  <c r="B124" i="36"/>
  <c r="B126" i="36"/>
  <c r="B127" i="36"/>
  <c r="N55" i="1"/>
  <c r="N54" i="1"/>
  <c r="N53" i="1"/>
  <c r="N52" i="1"/>
  <c r="N51" i="1"/>
  <c r="N56" i="1" s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B59" i="1"/>
  <c r="C59" i="1"/>
  <c r="D59" i="1"/>
  <c r="E59" i="1"/>
  <c r="F59" i="1"/>
  <c r="G59" i="1"/>
  <c r="H59" i="1"/>
  <c r="I59" i="1"/>
  <c r="J59" i="1"/>
  <c r="K59" i="1"/>
  <c r="L59" i="1"/>
  <c r="M59" i="1"/>
  <c r="B60" i="1"/>
  <c r="C60" i="1"/>
  <c r="D60" i="1"/>
  <c r="E60" i="1"/>
  <c r="F60" i="1"/>
  <c r="G60" i="1"/>
  <c r="H60" i="1"/>
  <c r="I60" i="1"/>
  <c r="J60" i="1"/>
  <c r="K60" i="1"/>
  <c r="L60" i="1"/>
  <c r="M60" i="1"/>
  <c r="B61" i="1"/>
  <c r="C61" i="1"/>
  <c r="D61" i="1"/>
  <c r="E61" i="1"/>
  <c r="F61" i="1"/>
  <c r="G61" i="1"/>
  <c r="H61" i="1"/>
  <c r="I61" i="1"/>
  <c r="J61" i="1"/>
  <c r="K61" i="1"/>
  <c r="L61" i="1"/>
  <c r="M61" i="1"/>
  <c r="C62" i="1"/>
  <c r="D62" i="1"/>
  <c r="E62" i="1"/>
  <c r="F62" i="1"/>
  <c r="G62" i="1"/>
  <c r="H62" i="1"/>
  <c r="I62" i="1"/>
  <c r="J62" i="1"/>
  <c r="K62" i="1"/>
  <c r="L62" i="1"/>
  <c r="M62" i="1"/>
  <c r="B63" i="1"/>
  <c r="C63" i="1"/>
  <c r="D63" i="1"/>
  <c r="E63" i="1"/>
  <c r="F63" i="1"/>
  <c r="G63" i="1"/>
  <c r="H63" i="1"/>
  <c r="I63" i="1"/>
  <c r="J63" i="1"/>
  <c r="K63" i="1"/>
  <c r="L63" i="1"/>
  <c r="M63" i="1"/>
  <c r="B65" i="1"/>
  <c r="C65" i="1"/>
  <c r="D65" i="1"/>
  <c r="E65" i="1"/>
  <c r="F65" i="1"/>
  <c r="G65" i="1"/>
  <c r="H65" i="1"/>
  <c r="I65" i="1"/>
  <c r="J65" i="1"/>
  <c r="K65" i="1"/>
  <c r="L65" i="1"/>
  <c r="M65" i="1"/>
  <c r="B66" i="1"/>
  <c r="C66" i="1"/>
  <c r="D66" i="1"/>
  <c r="E66" i="1"/>
  <c r="F66" i="1"/>
  <c r="G66" i="1"/>
  <c r="H66" i="1"/>
  <c r="I66" i="1"/>
  <c r="J66" i="1"/>
  <c r="K66" i="1"/>
  <c r="L66" i="1"/>
  <c r="M66" i="1"/>
  <c r="B67" i="1"/>
  <c r="C67" i="1"/>
  <c r="D67" i="1"/>
  <c r="E67" i="1"/>
  <c r="F67" i="1"/>
  <c r="G67" i="1"/>
  <c r="H67" i="1"/>
  <c r="I67" i="1"/>
  <c r="J67" i="1"/>
  <c r="K67" i="1"/>
  <c r="L67" i="1"/>
  <c r="M67" i="1"/>
  <c r="B68" i="1"/>
  <c r="C68" i="1"/>
  <c r="D68" i="1"/>
  <c r="E68" i="1"/>
  <c r="F68" i="1"/>
  <c r="G68" i="1"/>
  <c r="H68" i="1"/>
  <c r="I68" i="1"/>
  <c r="J68" i="1"/>
  <c r="K68" i="1"/>
  <c r="L68" i="1"/>
  <c r="M68" i="1"/>
  <c r="B69" i="1"/>
  <c r="C69" i="1"/>
  <c r="D69" i="1"/>
  <c r="E69" i="1"/>
  <c r="F69" i="1"/>
  <c r="G69" i="1"/>
  <c r="H69" i="1"/>
  <c r="I69" i="1"/>
  <c r="J69" i="1"/>
  <c r="K69" i="1"/>
  <c r="L69" i="1"/>
  <c r="M69" i="1"/>
  <c r="B81" i="1"/>
  <c r="B128" i="1" s="1"/>
  <c r="C82" i="1"/>
  <c r="D82" i="1" s="1"/>
  <c r="E82" i="1" s="1"/>
  <c r="F82" i="1" s="1"/>
  <c r="G82" i="1" s="1"/>
  <c r="B83" i="1"/>
  <c r="C83" i="1" s="1"/>
  <c r="C84" i="1"/>
  <c r="D84" i="1" s="1"/>
  <c r="E84" i="1" s="1"/>
  <c r="F84" i="1" s="1"/>
  <c r="G84" i="1" s="1"/>
  <c r="H84" i="1" s="1"/>
  <c r="I84" i="1" s="1"/>
  <c r="J84" i="1" s="1"/>
  <c r="K84" i="1" s="1"/>
  <c r="L84" i="1" s="1"/>
  <c r="M84" i="1" s="1"/>
  <c r="C85" i="1"/>
  <c r="D85" i="1" s="1"/>
  <c r="B86" i="1"/>
  <c r="C86" i="1" s="1"/>
  <c r="B87" i="1"/>
  <c r="C87" i="1" s="1"/>
  <c r="B88" i="1"/>
  <c r="C88" i="1" s="1"/>
  <c r="D88" i="1" s="1"/>
  <c r="B89" i="1"/>
  <c r="C89" i="1" s="1"/>
  <c r="C90" i="1"/>
  <c r="C136" i="1" s="1"/>
  <c r="D90" i="1"/>
  <c r="D136" i="1" s="1"/>
  <c r="E90" i="1"/>
  <c r="F90" i="1"/>
  <c r="G90" i="1"/>
  <c r="G136" i="1" s="1"/>
  <c r="H90" i="1"/>
  <c r="H136" i="1" s="1"/>
  <c r="I90" i="1"/>
  <c r="J90" i="1"/>
  <c r="K90" i="1"/>
  <c r="K136" i="1" s="1"/>
  <c r="L90" i="1"/>
  <c r="L136" i="1" s="1"/>
  <c r="M90" i="1"/>
  <c r="C91" i="1"/>
  <c r="D91" i="1"/>
  <c r="D137" i="1" s="1"/>
  <c r="E91" i="1"/>
  <c r="E137" i="1" s="1"/>
  <c r="F91" i="1"/>
  <c r="G91" i="1"/>
  <c r="H91" i="1"/>
  <c r="H137" i="1" s="1"/>
  <c r="I91" i="1"/>
  <c r="I136" i="1" s="1"/>
  <c r="J91" i="1"/>
  <c r="K91" i="1"/>
  <c r="L91" i="1"/>
  <c r="L137" i="1" s="1"/>
  <c r="M91" i="1"/>
  <c r="M137" i="1" s="1"/>
  <c r="C92" i="1"/>
  <c r="D92" i="1"/>
  <c r="E92" i="1"/>
  <c r="F92" i="1"/>
  <c r="G92" i="1"/>
  <c r="H92" i="1"/>
  <c r="I92" i="1"/>
  <c r="J92" i="1"/>
  <c r="K92" i="1"/>
  <c r="L92" i="1"/>
  <c r="M92" i="1"/>
  <c r="C93" i="1"/>
  <c r="C138" i="1" s="1"/>
  <c r="D93" i="1"/>
  <c r="E93" i="1"/>
  <c r="F93" i="1"/>
  <c r="G93" i="1"/>
  <c r="G138" i="1" s="1"/>
  <c r="H93" i="1"/>
  <c r="I93" i="1"/>
  <c r="J93" i="1"/>
  <c r="K93" i="1"/>
  <c r="K138" i="1" s="1"/>
  <c r="L93" i="1"/>
  <c r="M93" i="1"/>
  <c r="C94" i="1"/>
  <c r="D94" i="1" s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B131" i="1"/>
  <c r="B132" i="1"/>
  <c r="B134" i="1"/>
  <c r="B135" i="1"/>
  <c r="B136" i="1"/>
  <c r="F136" i="1"/>
  <c r="J136" i="1"/>
  <c r="B137" i="1"/>
  <c r="C137" i="1"/>
  <c r="F137" i="1"/>
  <c r="G137" i="1"/>
  <c r="J137" i="1"/>
  <c r="K137" i="1"/>
  <c r="B138" i="1"/>
  <c r="D138" i="1"/>
  <c r="E138" i="1"/>
  <c r="F138" i="1"/>
  <c r="H138" i="1"/>
  <c r="I138" i="1"/>
  <c r="J138" i="1"/>
  <c r="L138" i="1"/>
  <c r="M138" i="1"/>
  <c r="B139" i="1"/>
  <c r="N36" i="56457"/>
  <c r="N37" i="56457"/>
  <c r="N38" i="56457"/>
  <c r="N39" i="56457"/>
  <c r="N40" i="56457"/>
  <c r="N41" i="56457"/>
  <c r="N42" i="56457"/>
  <c r="N43" i="56457"/>
  <c r="N44" i="56457"/>
  <c r="B56" i="56457"/>
  <c r="C57" i="56457"/>
  <c r="D57" i="56457" s="1"/>
  <c r="E57" i="56457" s="1"/>
  <c r="F57" i="56457" s="1"/>
  <c r="B58" i="56457"/>
  <c r="C58" i="56457" s="1"/>
  <c r="D58" i="56457" s="1"/>
  <c r="B59" i="56457"/>
  <c r="C59" i="56457" s="1"/>
  <c r="C60" i="56457"/>
  <c r="D60" i="56457" s="1"/>
  <c r="B61" i="56457"/>
  <c r="C61" i="56457" s="1"/>
  <c r="B62" i="56457"/>
  <c r="B63" i="56457"/>
  <c r="C63" i="56457" s="1"/>
  <c r="D63" i="56457" s="1"/>
  <c r="E63" i="56457" s="1"/>
  <c r="F63" i="56457" s="1"/>
  <c r="G63" i="56457" s="1"/>
  <c r="B64" i="56457"/>
  <c r="C64" i="56457" s="1"/>
  <c r="D64" i="56457" s="1"/>
  <c r="B76" i="56457"/>
  <c r="B62" i="1"/>
  <c r="E55" i="56458"/>
  <c r="E56" i="56458" s="1"/>
  <c r="E57" i="56458" s="1"/>
  <c r="E58" i="56458" s="1"/>
  <c r="E59" i="56458" s="1"/>
  <c r="E60" i="56458" s="1"/>
  <c r="E61" i="56458" s="1"/>
  <c r="E62" i="56458" s="1"/>
  <c r="E63" i="56458" s="1"/>
  <c r="E54" i="56458"/>
  <c r="E41" i="56458"/>
  <c r="E42" i="56458" s="1"/>
  <c r="E43" i="56458" s="1"/>
  <c r="E44" i="56458" s="1"/>
  <c r="E45" i="56458" s="1"/>
  <c r="E46" i="56458" s="1"/>
  <c r="E47" i="56458" s="1"/>
  <c r="E48" i="56458" s="1"/>
  <c r="E49" i="56458" s="1"/>
  <c r="E50" i="56458" s="1"/>
  <c r="E51" i="56458" s="1"/>
  <c r="E52" i="56458" s="1"/>
  <c r="E53" i="56458" s="1"/>
  <c r="E28" i="56458"/>
  <c r="E29" i="56458" s="1"/>
  <c r="E30" i="56458" s="1"/>
  <c r="E31" i="56458" s="1"/>
  <c r="E32" i="56458" s="1"/>
  <c r="E33" i="56458" s="1"/>
  <c r="E34" i="56458" s="1"/>
  <c r="E35" i="56458" s="1"/>
  <c r="E36" i="56458" s="1"/>
  <c r="E37" i="56458" s="1"/>
  <c r="E38" i="56458" s="1"/>
  <c r="E39" i="56458" s="1"/>
  <c r="E40" i="56458" s="1"/>
  <c r="E15" i="56458"/>
  <c r="E16" i="56458" s="1"/>
  <c r="E17" i="56458" s="1"/>
  <c r="E18" i="56458" s="1"/>
  <c r="E19" i="56458" s="1"/>
  <c r="E20" i="56458" s="1"/>
  <c r="E21" i="56458" s="1"/>
  <c r="E22" i="56458" s="1"/>
  <c r="E23" i="56458" s="1"/>
  <c r="E24" i="56458" s="1"/>
  <c r="E25" i="56458" s="1"/>
  <c r="E26" i="56458" s="1"/>
  <c r="E27" i="56458" s="1"/>
  <c r="E3" i="56458"/>
  <c r="E4" i="56458" s="1"/>
  <c r="E5" i="56458" s="1"/>
  <c r="E6" i="56458" s="1"/>
  <c r="E7" i="56458" s="1"/>
  <c r="E8" i="56458" s="1"/>
  <c r="E9" i="56458" s="1"/>
  <c r="E10" i="56458" s="1"/>
  <c r="E11" i="56458" s="1"/>
  <c r="E12" i="56458" s="1"/>
  <c r="E13" i="56458" s="1"/>
  <c r="E14" i="56458" s="1"/>
  <c r="E2" i="56458"/>
  <c r="O31" i="109" l="1"/>
  <c r="L56" i="109" s="1"/>
  <c r="N45" i="109"/>
  <c r="O52" i="109"/>
  <c r="I137" i="1"/>
  <c r="M136" i="1"/>
  <c r="E136" i="1"/>
  <c r="B80" i="56457"/>
  <c r="B130" i="1"/>
  <c r="C127" i="36"/>
  <c r="B128" i="36"/>
  <c r="C139" i="1"/>
  <c r="B133" i="1"/>
  <c r="B129" i="1"/>
  <c r="B79" i="56457"/>
  <c r="B78" i="56457"/>
  <c r="B83" i="56457"/>
  <c r="C56" i="56457"/>
  <c r="C75" i="56457" s="1"/>
  <c r="B75" i="56457"/>
  <c r="B81" i="56457"/>
  <c r="B82" i="56457"/>
  <c r="C62" i="56457"/>
  <c r="D62" i="56457" s="1"/>
  <c r="E62" i="56457" s="1"/>
  <c r="F62" i="56457" s="1"/>
  <c r="F82" i="56457" s="1"/>
  <c r="B77" i="56457"/>
  <c r="B125" i="36"/>
  <c r="C131" i="1"/>
  <c r="G90" i="32"/>
  <c r="N44" i="32"/>
  <c r="G57" i="56457"/>
  <c r="H57" i="56457" s="1"/>
  <c r="I57" i="56457" s="1"/>
  <c r="D74" i="56457"/>
  <c r="D61" i="56457"/>
  <c r="E61" i="56457" s="1"/>
  <c r="E81" i="56457" s="1"/>
  <c r="C81" i="56457"/>
  <c r="C80" i="56457"/>
  <c r="D126" i="1"/>
  <c r="E80" i="1"/>
  <c r="E60" i="56457"/>
  <c r="C83" i="56457"/>
  <c r="D131" i="1"/>
  <c r="E85" i="1"/>
  <c r="D86" i="1"/>
  <c r="E86" i="1" s="1"/>
  <c r="F86" i="1" s="1"/>
  <c r="G86" i="1" s="1"/>
  <c r="H86" i="1" s="1"/>
  <c r="I86" i="1" s="1"/>
  <c r="J86" i="1" s="1"/>
  <c r="K86" i="1" s="1"/>
  <c r="L86" i="1" s="1"/>
  <c r="M86" i="1" s="1"/>
  <c r="C132" i="1"/>
  <c r="D87" i="1"/>
  <c r="E87" i="1" s="1"/>
  <c r="C133" i="1"/>
  <c r="C59" i="36"/>
  <c r="C123" i="36" s="1"/>
  <c r="E94" i="1"/>
  <c r="E139" i="1" s="1"/>
  <c r="D139" i="1"/>
  <c r="H82" i="1"/>
  <c r="C135" i="1"/>
  <c r="D89" i="1"/>
  <c r="C134" i="1"/>
  <c r="C129" i="1"/>
  <c r="D83" i="1"/>
  <c r="C130" i="1"/>
  <c r="E88" i="1"/>
  <c r="C81" i="1"/>
  <c r="B127" i="1"/>
  <c r="H63" i="56457"/>
  <c r="E58" i="56457"/>
  <c r="D77" i="56457"/>
  <c r="D83" i="56457"/>
  <c r="E64" i="56457"/>
  <c r="F64" i="56457" s="1"/>
  <c r="D59" i="56457"/>
  <c r="D78" i="56457" s="1"/>
  <c r="C79" i="56457"/>
  <c r="C78" i="56457"/>
  <c r="C77" i="56457"/>
  <c r="D64" i="36"/>
  <c r="E64" i="36" s="1"/>
  <c r="F64" i="36" s="1"/>
  <c r="G64" i="36" s="1"/>
  <c r="H64" i="36" s="1"/>
  <c r="I64" i="36" s="1"/>
  <c r="J64" i="36" s="1"/>
  <c r="K64" i="36" s="1"/>
  <c r="L64" i="36" s="1"/>
  <c r="M64" i="36" s="1"/>
  <c r="C128" i="36"/>
  <c r="F62" i="36"/>
  <c r="D61" i="36"/>
  <c r="C125" i="36"/>
  <c r="C126" i="36"/>
  <c r="D127" i="36"/>
  <c r="E63" i="36"/>
  <c r="E127" i="36" s="1"/>
  <c r="E60" i="36"/>
  <c r="D58" i="36"/>
  <c r="D122" i="36" s="1"/>
  <c r="D56" i="56457" l="1"/>
  <c r="D75" i="56457" s="1"/>
  <c r="G62" i="56457"/>
  <c r="G82" i="56457" s="1"/>
  <c r="C76" i="56457"/>
  <c r="D82" i="56457"/>
  <c r="E82" i="56457"/>
  <c r="C82" i="56457"/>
  <c r="E74" i="56457"/>
  <c r="D128" i="36"/>
  <c r="D133" i="1"/>
  <c r="D80" i="56457"/>
  <c r="F61" i="56457"/>
  <c r="G61" i="56457" s="1"/>
  <c r="H61" i="56457" s="1"/>
  <c r="I61" i="56457" s="1"/>
  <c r="J61" i="56457" s="1"/>
  <c r="K61" i="56457" s="1"/>
  <c r="L61" i="56457" s="1"/>
  <c r="M61" i="56457" s="1"/>
  <c r="D81" i="56457"/>
  <c r="F94" i="1"/>
  <c r="F139" i="1" s="1"/>
  <c r="D132" i="1"/>
  <c r="E126" i="1"/>
  <c r="F80" i="1"/>
  <c r="F60" i="56457"/>
  <c r="E80" i="56457"/>
  <c r="F85" i="1"/>
  <c r="E131" i="1"/>
  <c r="E132" i="1"/>
  <c r="D59" i="36"/>
  <c r="D123" i="36" s="1"/>
  <c r="C124" i="36"/>
  <c r="C127" i="1"/>
  <c r="C128" i="1"/>
  <c r="D81" i="1"/>
  <c r="F88" i="1"/>
  <c r="E89" i="1"/>
  <c r="E134" i="1" s="1"/>
  <c r="D135" i="1"/>
  <c r="F87" i="1"/>
  <c r="E133" i="1"/>
  <c r="D134" i="1"/>
  <c r="E83" i="1"/>
  <c r="D130" i="1"/>
  <c r="D129" i="1"/>
  <c r="I82" i="1"/>
  <c r="G94" i="1"/>
  <c r="F74" i="56457"/>
  <c r="G64" i="56457"/>
  <c r="F83" i="56457"/>
  <c r="D79" i="56457"/>
  <c r="E59" i="56457"/>
  <c r="E78" i="56457" s="1"/>
  <c r="J57" i="56457"/>
  <c r="E77" i="56457"/>
  <c r="F58" i="56457"/>
  <c r="I63" i="56457"/>
  <c r="E83" i="56457"/>
  <c r="D76" i="56457"/>
  <c r="E56" i="56457"/>
  <c r="E75" i="56457" s="1"/>
  <c r="E58" i="36"/>
  <c r="E122" i="36" s="1"/>
  <c r="F60" i="36"/>
  <c r="D126" i="36"/>
  <c r="E61" i="36"/>
  <c r="D125" i="36"/>
  <c r="E128" i="36"/>
  <c r="F63" i="36"/>
  <c r="G62" i="36"/>
  <c r="H62" i="56457" l="1"/>
  <c r="I62" i="56457" s="1"/>
  <c r="G81" i="56457"/>
  <c r="F81" i="56457"/>
  <c r="F126" i="1"/>
  <c r="G80" i="1"/>
  <c r="F80" i="56457"/>
  <c r="G60" i="56457"/>
  <c r="G85" i="1"/>
  <c r="F131" i="1"/>
  <c r="F132" i="1"/>
  <c r="D124" i="36"/>
  <c r="E59" i="36"/>
  <c r="E123" i="36" s="1"/>
  <c r="G139" i="1"/>
  <c r="H94" i="1"/>
  <c r="F133" i="1"/>
  <c r="G87" i="1"/>
  <c r="E135" i="1"/>
  <c r="F89" i="1"/>
  <c r="F134" i="1" s="1"/>
  <c r="G88" i="1"/>
  <c r="J82" i="1"/>
  <c r="F83" i="1"/>
  <c r="E130" i="1"/>
  <c r="E129" i="1"/>
  <c r="D127" i="1"/>
  <c r="D128" i="1"/>
  <c r="E81" i="1"/>
  <c r="E76" i="56457"/>
  <c r="F56" i="56457"/>
  <c r="F75" i="56457" s="1"/>
  <c r="K57" i="56457"/>
  <c r="H64" i="56457"/>
  <c r="G83" i="56457"/>
  <c r="G74" i="56457"/>
  <c r="J63" i="56457"/>
  <c r="F77" i="56457"/>
  <c r="G58" i="56457"/>
  <c r="F59" i="56457"/>
  <c r="F78" i="56457" s="1"/>
  <c r="E79" i="56457"/>
  <c r="H82" i="56457"/>
  <c r="H62" i="36"/>
  <c r="F128" i="36"/>
  <c r="G63" i="36"/>
  <c r="G127" i="36" s="1"/>
  <c r="G60" i="36"/>
  <c r="F58" i="36"/>
  <c r="F122" i="36" s="1"/>
  <c r="F127" i="36"/>
  <c r="E126" i="36"/>
  <c r="F61" i="36"/>
  <c r="E125" i="36"/>
  <c r="H81" i="56457" l="1"/>
  <c r="G126" i="1"/>
  <c r="H80" i="1"/>
  <c r="G80" i="56457"/>
  <c r="H60" i="56457"/>
  <c r="G131" i="1"/>
  <c r="G132" i="1"/>
  <c r="H85" i="1"/>
  <c r="F59" i="36"/>
  <c r="E124" i="36"/>
  <c r="F129" i="1"/>
  <c r="F130" i="1"/>
  <c r="G83" i="1"/>
  <c r="H88" i="1"/>
  <c r="E127" i="1"/>
  <c r="E128" i="1"/>
  <c r="F81" i="1"/>
  <c r="K82" i="1"/>
  <c r="G89" i="1"/>
  <c r="G134" i="1" s="1"/>
  <c r="F135" i="1"/>
  <c r="H87" i="1"/>
  <c r="G133" i="1"/>
  <c r="I94" i="1"/>
  <c r="H139" i="1"/>
  <c r="J62" i="56457"/>
  <c r="I82" i="56457"/>
  <c r="I81" i="56457"/>
  <c r="K63" i="56457"/>
  <c r="H74" i="56457"/>
  <c r="I64" i="56457"/>
  <c r="H83" i="56457"/>
  <c r="G59" i="56457"/>
  <c r="G78" i="56457" s="1"/>
  <c r="F79" i="56457"/>
  <c r="H58" i="56457"/>
  <c r="G77" i="56457"/>
  <c r="L57" i="56457"/>
  <c r="F76" i="56457"/>
  <c r="G56" i="56457"/>
  <c r="G75" i="56457" s="1"/>
  <c r="F126" i="36"/>
  <c r="G61" i="36"/>
  <c r="G125" i="36" s="1"/>
  <c r="G58" i="36"/>
  <c r="G122" i="36" s="1"/>
  <c r="F125" i="36"/>
  <c r="H60" i="36"/>
  <c r="H63" i="36"/>
  <c r="H127" i="36" s="1"/>
  <c r="G128" i="36"/>
  <c r="I62" i="36"/>
  <c r="H126" i="1" l="1"/>
  <c r="I80" i="1"/>
  <c r="I60" i="56457"/>
  <c r="H80" i="56457"/>
  <c r="H132" i="1"/>
  <c r="I85" i="1"/>
  <c r="H131" i="1"/>
  <c r="G59" i="36"/>
  <c r="F124" i="36"/>
  <c r="F123" i="36"/>
  <c r="L82" i="1"/>
  <c r="G81" i="1"/>
  <c r="F128" i="1"/>
  <c r="F127" i="1"/>
  <c r="H83" i="1"/>
  <c r="G130" i="1"/>
  <c r="G129" i="1"/>
  <c r="I139" i="1"/>
  <c r="J94" i="1"/>
  <c r="I87" i="1"/>
  <c r="H133" i="1"/>
  <c r="H89" i="1"/>
  <c r="G135" i="1"/>
  <c r="H134" i="1"/>
  <c r="I88" i="1"/>
  <c r="I58" i="56457"/>
  <c r="H77" i="56457"/>
  <c r="L63" i="56457"/>
  <c r="K62" i="56457"/>
  <c r="J82" i="56457"/>
  <c r="J81" i="56457"/>
  <c r="H56" i="56457"/>
  <c r="H75" i="56457" s="1"/>
  <c r="G76" i="56457"/>
  <c r="M57" i="56457"/>
  <c r="H59" i="56457"/>
  <c r="G79" i="56457"/>
  <c r="J64" i="56457"/>
  <c r="I83" i="56457"/>
  <c r="H58" i="36"/>
  <c r="J62" i="36"/>
  <c r="H128" i="36"/>
  <c r="I63" i="36"/>
  <c r="I60" i="36"/>
  <c r="G126" i="36"/>
  <c r="H61" i="36"/>
  <c r="J80" i="1" l="1"/>
  <c r="J126" i="1" s="1"/>
  <c r="I126" i="1"/>
  <c r="J74" i="56457"/>
  <c r="I74" i="56457"/>
  <c r="I58" i="36"/>
  <c r="H122" i="36"/>
  <c r="I80" i="56457"/>
  <c r="J60" i="56457"/>
  <c r="I131" i="1"/>
  <c r="I132" i="1"/>
  <c r="J85" i="1"/>
  <c r="G124" i="36"/>
  <c r="H59" i="36"/>
  <c r="G123" i="36"/>
  <c r="I89" i="1"/>
  <c r="I134" i="1" s="1"/>
  <c r="H135" i="1"/>
  <c r="J87" i="1"/>
  <c r="I133" i="1"/>
  <c r="G128" i="1"/>
  <c r="H81" i="1"/>
  <c r="G127" i="1"/>
  <c r="M82" i="1"/>
  <c r="J88" i="1"/>
  <c r="K94" i="1"/>
  <c r="J139" i="1"/>
  <c r="H130" i="1"/>
  <c r="I83" i="1"/>
  <c r="H129" i="1"/>
  <c r="K64" i="56457"/>
  <c r="J83" i="56457"/>
  <c r="I59" i="56457"/>
  <c r="I78" i="56457" s="1"/>
  <c r="H79" i="56457"/>
  <c r="H76" i="56457"/>
  <c r="I56" i="56457"/>
  <c r="I75" i="56457" s="1"/>
  <c r="H78" i="56457"/>
  <c r="K82" i="56457"/>
  <c r="K81" i="56457"/>
  <c r="L62" i="56457"/>
  <c r="M63" i="56457"/>
  <c r="J58" i="56457"/>
  <c r="I77" i="56457"/>
  <c r="J60" i="36"/>
  <c r="K62" i="36"/>
  <c r="I61" i="36"/>
  <c r="H126" i="36"/>
  <c r="H125" i="36"/>
  <c r="J63" i="36"/>
  <c r="I128" i="36"/>
  <c r="I127" i="36"/>
  <c r="K80" i="1" l="1"/>
  <c r="K126" i="1" s="1"/>
  <c r="K74" i="56457"/>
  <c r="J58" i="36"/>
  <c r="I122" i="36"/>
  <c r="L80" i="1"/>
  <c r="L126" i="1" s="1"/>
  <c r="K60" i="56457"/>
  <c r="J80" i="56457"/>
  <c r="L74" i="56457"/>
  <c r="J132" i="1"/>
  <c r="J131" i="1"/>
  <c r="K85" i="1"/>
  <c r="E62" i="109"/>
  <c r="K62" i="109" s="1"/>
  <c r="I59" i="36"/>
  <c r="I123" i="36" s="1"/>
  <c r="H124" i="36"/>
  <c r="H123" i="36"/>
  <c r="I130" i="1"/>
  <c r="J83" i="1"/>
  <c r="I129" i="1"/>
  <c r="J133" i="1"/>
  <c r="K87" i="1"/>
  <c r="J89" i="1"/>
  <c r="I135" i="1"/>
  <c r="K139" i="1"/>
  <c r="L94" i="1"/>
  <c r="K88" i="1"/>
  <c r="H128" i="1"/>
  <c r="I81" i="1"/>
  <c r="H127" i="1"/>
  <c r="K58" i="56457"/>
  <c r="J77" i="56457"/>
  <c r="M62" i="56457"/>
  <c r="L82" i="56457"/>
  <c r="L81" i="56457"/>
  <c r="I76" i="56457"/>
  <c r="J56" i="56457"/>
  <c r="J75" i="56457" s="1"/>
  <c r="I79" i="56457"/>
  <c r="J59" i="56457"/>
  <c r="J78" i="56457" s="1"/>
  <c r="L64" i="56457"/>
  <c r="K83" i="56457"/>
  <c r="I126" i="36"/>
  <c r="J61" i="36"/>
  <c r="J125" i="36" s="1"/>
  <c r="L62" i="36"/>
  <c r="K60" i="36"/>
  <c r="K63" i="36"/>
  <c r="J128" i="36"/>
  <c r="J127" i="36"/>
  <c r="I125" i="36"/>
  <c r="K58" i="36" l="1"/>
  <c r="K122" i="36" s="1"/>
  <c r="J122" i="36"/>
  <c r="M80" i="1"/>
  <c r="M126" i="1" s="1"/>
  <c r="M74" i="56457"/>
  <c r="L60" i="56457"/>
  <c r="K80" i="56457"/>
  <c r="L85" i="1"/>
  <c r="K131" i="1"/>
  <c r="K132" i="1"/>
  <c r="J59" i="36"/>
  <c r="J123" i="36" s="1"/>
  <c r="I124" i="36"/>
  <c r="L88" i="1"/>
  <c r="K89" i="1"/>
  <c r="J135" i="1"/>
  <c r="J81" i="1"/>
  <c r="J127" i="1" s="1"/>
  <c r="I128" i="1"/>
  <c r="I127" i="1"/>
  <c r="J134" i="1"/>
  <c r="M94" i="1"/>
  <c r="M139" i="1" s="1"/>
  <c r="L139" i="1"/>
  <c r="L87" i="1"/>
  <c r="K133" i="1"/>
  <c r="J130" i="1"/>
  <c r="K83" i="1"/>
  <c r="J129" i="1"/>
  <c r="M64" i="56457"/>
  <c r="M83" i="56457" s="1"/>
  <c r="L83" i="56457"/>
  <c r="K59" i="56457"/>
  <c r="J79" i="56457"/>
  <c r="K56" i="56457"/>
  <c r="K75" i="56457" s="1"/>
  <c r="J76" i="56457"/>
  <c r="M82" i="56457"/>
  <c r="M81" i="56457"/>
  <c r="L58" i="56457"/>
  <c r="K77" i="56457"/>
  <c r="K128" i="36"/>
  <c r="L63" i="36"/>
  <c r="L127" i="36" s="1"/>
  <c r="K127" i="36"/>
  <c r="L60" i="36"/>
  <c r="M62" i="36"/>
  <c r="J126" i="36"/>
  <c r="K61" i="36"/>
  <c r="L58" i="36" l="1"/>
  <c r="L122" i="36" s="1"/>
  <c r="L80" i="56457"/>
  <c r="M60" i="56457"/>
  <c r="M80" i="56457" s="1"/>
  <c r="L131" i="1"/>
  <c r="M85" i="1"/>
  <c r="L132" i="1"/>
  <c r="E63" i="109"/>
  <c r="K63" i="109" s="1"/>
  <c r="K65" i="109" s="1"/>
  <c r="L57" i="109" s="1"/>
  <c r="L58" i="109" s="1"/>
  <c r="J124" i="36"/>
  <c r="K59" i="36"/>
  <c r="K123" i="36" s="1"/>
  <c r="M87" i="1"/>
  <c r="L133" i="1"/>
  <c r="K81" i="1"/>
  <c r="K127" i="1" s="1"/>
  <c r="J128" i="1"/>
  <c r="L89" i="1"/>
  <c r="L134" i="1" s="1"/>
  <c r="K135" i="1"/>
  <c r="M88" i="1"/>
  <c r="K130" i="1"/>
  <c r="L83" i="1"/>
  <c r="K129" i="1"/>
  <c r="K134" i="1"/>
  <c r="M58" i="56457"/>
  <c r="L77" i="56457"/>
  <c r="L56" i="56457"/>
  <c r="L75" i="56457" s="1"/>
  <c r="K76" i="56457"/>
  <c r="L59" i="56457"/>
  <c r="K79" i="56457"/>
  <c r="K78" i="56457"/>
  <c r="K126" i="36"/>
  <c r="L61" i="36"/>
  <c r="L125" i="36" s="1"/>
  <c r="K125" i="36"/>
  <c r="M60" i="36"/>
  <c r="M63" i="36"/>
  <c r="M128" i="36" s="1"/>
  <c r="L128" i="36"/>
  <c r="M58" i="36" l="1"/>
  <c r="M122" i="36" s="1"/>
  <c r="M132" i="1"/>
  <c r="M131" i="1"/>
  <c r="L59" i="36"/>
  <c r="L123" i="36" s="1"/>
  <c r="K124" i="36"/>
  <c r="M133" i="1"/>
  <c r="M89" i="1"/>
  <c r="M135" i="1" s="1"/>
  <c r="L135" i="1"/>
  <c r="L81" i="1"/>
  <c r="L127" i="1" s="1"/>
  <c r="K128" i="1"/>
  <c r="M83" i="1"/>
  <c r="L130" i="1"/>
  <c r="L129" i="1"/>
  <c r="M59" i="56457"/>
  <c r="M79" i="56457" s="1"/>
  <c r="L79" i="56457"/>
  <c r="M56" i="56457"/>
  <c r="M75" i="56457" s="1"/>
  <c r="L76" i="56457"/>
  <c r="L78" i="56457"/>
  <c r="M77" i="56457"/>
  <c r="M127" i="36"/>
  <c r="L126" i="36"/>
  <c r="M61" i="36"/>
  <c r="M126" i="36" s="1"/>
  <c r="M76" i="56457" l="1"/>
  <c r="M125" i="36"/>
  <c r="L124" i="36"/>
  <c r="M59" i="36"/>
  <c r="M124" i="36" s="1"/>
  <c r="M130" i="1"/>
  <c r="M129" i="1"/>
  <c r="M81" i="1"/>
  <c r="L128" i="1"/>
  <c r="M134" i="1"/>
  <c r="M78" i="56457"/>
  <c r="M123" i="36" l="1"/>
  <c r="M128" i="1"/>
  <c r="M127" i="1"/>
</calcChain>
</file>

<file path=xl/sharedStrings.xml><?xml version="1.0" encoding="utf-8"?>
<sst xmlns="http://schemas.openxmlformats.org/spreadsheetml/2006/main" count="702" uniqueCount="160">
  <si>
    <t>Recording / Marriage License</t>
  </si>
  <si>
    <t xml:space="preserve">Work Load Statistics </t>
  </si>
  <si>
    <t>for 1991 through 1994</t>
  </si>
  <si>
    <t>Descriptions</t>
  </si>
  <si>
    <t>1991</t>
  </si>
  <si>
    <t>1992</t>
  </si>
  <si>
    <t>1993</t>
  </si>
  <si>
    <t>1994</t>
  </si>
  <si>
    <t>Jan 94</t>
  </si>
  <si>
    <t>Feb 94</t>
  </si>
  <si>
    <t>Mar 94</t>
  </si>
  <si>
    <t>Apr 94</t>
  </si>
  <si>
    <t>May 94</t>
  </si>
  <si>
    <t>Jun 94</t>
  </si>
  <si>
    <t>Jul 94</t>
  </si>
  <si>
    <t>Aug 94</t>
  </si>
  <si>
    <t>Sep 94</t>
  </si>
  <si>
    <t>Oct 94</t>
  </si>
  <si>
    <t>Nov 94</t>
  </si>
  <si>
    <t>Dec 94</t>
  </si>
  <si>
    <t>Jan 95</t>
  </si>
  <si>
    <t>Feb 95</t>
  </si>
  <si>
    <t>Mar 95</t>
  </si>
  <si>
    <t>Apr 95</t>
  </si>
  <si>
    <t>May 95</t>
  </si>
  <si>
    <t>Jun 95</t>
  </si>
  <si>
    <t>Jul 95</t>
  </si>
  <si>
    <t>Aug 95</t>
  </si>
  <si>
    <t>Sep 95</t>
  </si>
  <si>
    <t>Oct 95</t>
  </si>
  <si>
    <t>Nov 95</t>
  </si>
  <si>
    <t>Dec 95</t>
  </si>
  <si>
    <t>Other Rev.</t>
  </si>
  <si>
    <t>Recording Rev.</t>
  </si>
  <si>
    <t>Marriage Rev.</t>
  </si>
  <si>
    <t>Total Rev.</t>
  </si>
  <si>
    <t>Recording Documents</t>
  </si>
  <si>
    <t>Marriage Documents</t>
  </si>
  <si>
    <t>Full Time Staff</t>
  </si>
  <si>
    <t>Temp Staff</t>
  </si>
  <si>
    <t>Vacation Time Hrs.</t>
  </si>
  <si>
    <t>Vacation Used Hrs.</t>
  </si>
  <si>
    <t>Sick time Hrs.</t>
  </si>
  <si>
    <t>Sick used Hrs.</t>
  </si>
  <si>
    <t>Comp Time Hrs.</t>
  </si>
  <si>
    <t>Comp used Hrs.</t>
  </si>
  <si>
    <t>Note:  Other revenue is a combination of Process server fee, State document preservation, Auditor's O &amp; M , Photo copies, Certified copies, Lien searches, and State plat fee.</t>
  </si>
  <si>
    <t xml:space="preserve"> 1995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</si>
  <si>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</si>
  <si>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</si>
  <si>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</si>
  <si>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</si>
  <si>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</si>
  <si>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</si>
  <si>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</si>
  <si>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</si>
  <si>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</si>
  <si>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</si>
  <si>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</si>
  <si>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</si>
  <si>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</si>
  <si>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Recording Documents 96</t>
  </si>
  <si>
    <t>Marriage Documents 96</t>
  </si>
  <si>
    <t>Recording Documents 97</t>
  </si>
  <si>
    <t>Description</t>
  </si>
  <si>
    <t>Total Documents</t>
  </si>
  <si>
    <t>Total Staffing</t>
  </si>
  <si>
    <t>Equivalent Hours for Staff</t>
  </si>
  <si>
    <t>Total Hours Used</t>
  </si>
  <si>
    <t>Total Staffing in Hours</t>
  </si>
  <si>
    <t>EQUIVALENT FTEs</t>
  </si>
  <si>
    <t>Proj. 1995</t>
  </si>
  <si>
    <t>Documents per Employee</t>
  </si>
  <si>
    <t>1985</t>
  </si>
  <si>
    <t>1986</t>
  </si>
  <si>
    <t>1987</t>
  </si>
  <si>
    <t>1988</t>
  </si>
  <si>
    <t>1989</t>
  </si>
  <si>
    <t>1990</t>
  </si>
  <si>
    <t xml:space="preserve"> </t>
  </si>
  <si>
    <t>1995</t>
  </si>
  <si>
    <t>1996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</si>
  <si>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</si>
  <si>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</si>
  <si>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</si>
  <si>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</si>
  <si>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</si>
  <si>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</si>
  <si>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</si>
  <si>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</si>
  <si>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</si>
  <si>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</si>
  <si>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</si>
  <si>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>1999 Monthly % Change</t>
  </si>
  <si>
    <t>2000 Monthly % Change</t>
  </si>
  <si>
    <t>93 - '97 Monthly Avg.</t>
  </si>
  <si>
    <t># of Documents Recorded</t>
  </si>
  <si>
    <t>% Change From Prior Month (Same Year)</t>
  </si>
  <si>
    <t>% Change From Prior Year Month</t>
  </si>
  <si>
    <t>% Change From Prior Year-to-Date</t>
  </si>
  <si>
    <t xml:space="preserve"># of Documents Recorded Year-to-Date </t>
  </si>
  <si>
    <t>2001 Monthly % Change</t>
  </si>
  <si>
    <t>2002 Monthly % Change</t>
  </si>
  <si>
    <t>% Change 99-00</t>
  </si>
  <si>
    <t>% Change 00-01</t>
  </si>
  <si>
    <t>% Change 01-02</t>
  </si>
  <si>
    <t># of Recorded Pages</t>
  </si>
  <si>
    <t>% Change from Prior Month (Same Year)</t>
  </si>
  <si>
    <t>% Change from Prior Year (Month)</t>
  </si>
  <si>
    <t># of Docs Recorded</t>
  </si>
  <si>
    <t xml:space="preserve"># of Licenses Recorded Year-to-Date </t>
  </si>
  <si>
    <t># of Licenses Recorded</t>
  </si>
  <si>
    <t>% Change From Prior Month</t>
  </si>
  <si>
    <t># of Recorded  Pages YTD</t>
  </si>
  <si>
    <t>NO. OF DOCUMENTS / EXCLUDING MARRIAGE LICENSES</t>
  </si>
  <si>
    <t>NO. OF  MARRIAGE LICENSES DOCUMENTS</t>
  </si>
  <si>
    <t>Period</t>
  </si>
  <si>
    <t>Currency</t>
  </si>
  <si>
    <t>PTD</t>
  </si>
  <si>
    <t>YTD</t>
  </si>
  <si>
    <t>USD</t>
  </si>
  <si>
    <t>Adj-99</t>
  </si>
  <si>
    <t>Adj-00</t>
  </si>
  <si>
    <t>Adj-01</t>
  </si>
  <si>
    <t>Adj-02</t>
  </si>
  <si>
    <t>RECORDING FEE REVENUE</t>
  </si>
  <si>
    <t>AVG REVENUE/DOCUMENT</t>
  </si>
  <si>
    <t>TOTAL # OF DOCUMENTS (INCLUDING MARRIAGE LICENSES)</t>
  </si>
  <si>
    <t>ANALYSIS OF # OF RECORDING DOCUMENTS  / RECORDING REVENUE</t>
  </si>
  <si>
    <t># Doc's</t>
  </si>
  <si>
    <t>$$ Rev</t>
  </si>
  <si>
    <t>2003 GROWTH over 2002</t>
  </si>
  <si>
    <t>Avg Monthly</t>
  </si>
  <si>
    <t>Jan-Sept</t>
  </si>
  <si>
    <t xml:space="preserve">Thru </t>
  </si>
  <si>
    <t xml:space="preserve">Increase due to # of Documents YTD (volume) = </t>
  </si>
  <si>
    <t xml:space="preserve">Total Revenue Increase 1st 9 months 2003 </t>
  </si>
  <si>
    <t>Rev Increase YTD</t>
  </si>
  <si>
    <t>Document Increase YTD</t>
  </si>
  <si>
    <t>AVG THRU</t>
  </si>
  <si>
    <t>SEPT</t>
  </si>
  <si>
    <t xml:space="preserve">Avg page Per Doc: </t>
  </si>
  <si>
    <t>2002 Thru Sept</t>
  </si>
  <si>
    <t>2003 thru Sept</t>
  </si>
  <si>
    <t>Total pages thru Sept 2002:</t>
  </si>
  <si>
    <t>Total pages thru Sept 2003:</t>
  </si>
  <si>
    <t xml:space="preserve">Increase due to increased pages/Document  = </t>
  </si>
  <si>
    <t>Increasesv due to other - change in mix of doc types</t>
  </si>
  <si>
    <t>(unpaid, multi-title docs, lag in acct/rec, mix of marriage)</t>
  </si>
  <si>
    <t>(increased volume) 43,740   x  7.45 (2002 rate of rev)  =</t>
  </si>
  <si>
    <t>(Incr.page/doc)   0 .94 x  $1  x  178979 (docs)=</t>
  </si>
  <si>
    <t xml:space="preserve"> (1) Average pages per document based on documents excluding marriage license and certificates and pages including marriage apps. and certs.</t>
  </si>
  <si>
    <t># of Titles Recorded</t>
  </si>
  <si>
    <t xml:space="preserve"># of Titles Recorded Year-to-Date </t>
  </si>
  <si>
    <t>% Change From Same Month, Prior Year</t>
  </si>
  <si>
    <t>% Change from Prior Year YTD</t>
  </si>
  <si>
    <t>YTD Average</t>
  </si>
  <si>
    <t>Avg Pages per Doc. (Current month)</t>
  </si>
  <si>
    <t>* Includes all multiple recordings and all marriage licenses and certificates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</si>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</sst>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7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u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gray0625">
        <fgColor indexed="8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Alignment="1" applyProtection="1">
      <alignment horizontal="centerContinuous" vertical="top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7" fontId="3" fillId="0" borderId="0" xfId="0" applyNumberFormat="1" applyFont="1" applyProtection="1"/>
    <xf numFmtId="39" fontId="3" fillId="0" borderId="0" xfId="0" applyNumberFormat="1" applyFont="1" applyProtection="1"/>
    <xf numFmtId="0" fontId="3" fillId="2" borderId="0" xfId="0" applyFont="1" applyFill="1" applyAlignment="1" applyProtection="1">
      <alignment horizontal="center"/>
    </xf>
    <xf numFmtId="37" fontId="3" fillId="2" borderId="0" xfId="0" applyNumberFormat="1" applyFont="1" applyFill="1" applyProtection="1"/>
    <xf numFmtId="0" fontId="3" fillId="2" borderId="0" xfId="0" applyFont="1" applyFill="1" applyProtection="1"/>
    <xf numFmtId="37" fontId="3" fillId="0" borderId="0" xfId="0" applyNumberFormat="1" applyFont="1" applyAlignment="1" applyProtection="1">
      <alignment horizontal="center"/>
    </xf>
    <xf numFmtId="37" fontId="3" fillId="2" borderId="0" xfId="0" applyNumberFormat="1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37" fontId="3" fillId="3" borderId="0" xfId="0" applyNumberFormat="1" applyFont="1" applyFill="1" applyProtection="1"/>
    <xf numFmtId="39" fontId="3" fillId="3" borderId="0" xfId="0" applyNumberFormat="1" applyFont="1" applyFill="1" applyProtection="1"/>
    <xf numFmtId="0" fontId="0" fillId="0" borderId="0" xfId="0" applyAlignment="1">
      <alignment horizontal="center"/>
    </xf>
    <xf numFmtId="9" fontId="3" fillId="0" borderId="0" xfId="0" applyNumberFormat="1" applyFont="1" applyProtection="1"/>
    <xf numFmtId="9" fontId="0" fillId="0" borderId="0" xfId="0" applyNumberFormat="1"/>
    <xf numFmtId="41" fontId="0" fillId="0" borderId="0" xfId="0" applyNumberFormat="1" applyBorder="1"/>
    <xf numFmtId="0" fontId="0" fillId="0" borderId="0" xfId="0" applyBorder="1"/>
    <xf numFmtId="0" fontId="5" fillId="0" borderId="0" xfId="0" quotePrefix="1" applyFont="1" applyBorder="1" applyAlignment="1">
      <alignment wrapText="1" shrinkToFit="1"/>
    </xf>
    <xf numFmtId="9" fontId="0" fillId="0" borderId="0" xfId="0" applyNumberFormat="1" applyBorder="1"/>
    <xf numFmtId="9" fontId="3" fillId="0" borderId="0" xfId="0" applyNumberFormat="1" applyFont="1" applyBorder="1" applyProtection="1"/>
    <xf numFmtId="0" fontId="3" fillId="0" borderId="0" xfId="0" applyFont="1" applyBorder="1" applyProtection="1"/>
    <xf numFmtId="0" fontId="5" fillId="0" borderId="0" xfId="0" applyFont="1"/>
    <xf numFmtId="9" fontId="5" fillId="0" borderId="0" xfId="0" applyNumberFormat="1" applyFont="1"/>
    <xf numFmtId="3" fontId="5" fillId="0" borderId="0" xfId="0" applyNumberFormat="1" applyFont="1"/>
    <xf numFmtId="0" fontId="6" fillId="0" borderId="0" xfId="0" applyFont="1"/>
    <xf numFmtId="0" fontId="7" fillId="0" borderId="2" xfId="0" applyFont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1" applyNumberFormat="1" applyFont="1"/>
    <xf numFmtId="165" fontId="4" fillId="0" borderId="0" xfId="1" applyNumberFormat="1" applyFont="1" applyBorder="1"/>
    <xf numFmtId="165" fontId="7" fillId="0" borderId="0" xfId="1" applyNumberFormat="1" applyFont="1"/>
    <xf numFmtId="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165" fontId="8" fillId="0" borderId="0" xfId="1" applyNumberFormat="1" applyFont="1" applyBorder="1" applyAlignment="1" applyProtection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41" fontId="4" fillId="0" borderId="0" xfId="0" applyNumberFormat="1" applyFont="1" applyBorder="1"/>
    <xf numFmtId="41" fontId="9" fillId="0" borderId="0" xfId="0" applyNumberFormat="1" applyFont="1" applyProtection="1"/>
    <xf numFmtId="41" fontId="9" fillId="0" borderId="0" xfId="0" applyNumberFormat="1" applyFont="1" applyBorder="1" applyProtection="1"/>
    <xf numFmtId="0" fontId="9" fillId="0" borderId="0" xfId="0" applyFont="1" applyAlignment="1" applyProtection="1">
      <alignment horizontal="center"/>
    </xf>
    <xf numFmtId="0" fontId="4" fillId="0" borderId="0" xfId="0" applyFont="1" applyBorder="1"/>
    <xf numFmtId="0" fontId="7" fillId="0" borderId="0" xfId="0" applyFont="1" applyAlignment="1">
      <alignment horizontal="left"/>
    </xf>
    <xf numFmtId="41" fontId="7" fillId="0" borderId="0" xfId="0" applyNumberFormat="1" applyFont="1" applyBorder="1"/>
    <xf numFmtId="0" fontId="8" fillId="0" borderId="0" xfId="0" applyFont="1" applyAlignment="1" applyProtection="1">
      <alignment horizontal="center"/>
    </xf>
    <xf numFmtId="164" fontId="9" fillId="0" borderId="0" xfId="0" applyNumberFormat="1" applyFont="1" applyBorder="1" applyProtection="1"/>
    <xf numFmtId="9" fontId="8" fillId="0" borderId="0" xfId="0" applyNumberFormat="1" applyFont="1" applyBorder="1" applyProtection="1"/>
    <xf numFmtId="0" fontId="9" fillId="0" borderId="0" xfId="0" applyFont="1" applyAlignment="1" applyProtection="1">
      <alignment horizontal="left"/>
    </xf>
    <xf numFmtId="9" fontId="9" fillId="0" borderId="0" xfId="0" applyNumberFormat="1" applyFont="1" applyBorder="1" applyProtection="1"/>
    <xf numFmtId="0" fontId="9" fillId="0" borderId="0" xfId="0" applyFont="1" applyProtection="1"/>
    <xf numFmtId="9" fontId="4" fillId="0" borderId="0" xfId="0" applyNumberFormat="1" applyFont="1" applyBorder="1"/>
    <xf numFmtId="9" fontId="7" fillId="0" borderId="0" xfId="0" applyNumberFormat="1" applyFont="1"/>
    <xf numFmtId="9" fontId="4" fillId="0" borderId="0" xfId="0" applyNumberFormat="1" applyFont="1"/>
    <xf numFmtId="0" fontId="9" fillId="0" borderId="2" xfId="0" applyFont="1" applyBorder="1" applyAlignment="1" applyProtection="1">
      <alignment horizontal="center"/>
    </xf>
    <xf numFmtId="165" fontId="8" fillId="0" borderId="0" xfId="1" applyNumberFormat="1" applyFont="1" applyBorder="1" applyAlignment="1" applyProtection="1"/>
    <xf numFmtId="41" fontId="9" fillId="0" borderId="0" xfId="0" applyNumberFormat="1" applyFont="1" applyAlignment="1" applyProtection="1">
      <alignment horizontal="right"/>
    </xf>
    <xf numFmtId="41" fontId="9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left"/>
    </xf>
    <xf numFmtId="41" fontId="4" fillId="0" borderId="0" xfId="0" applyNumberFormat="1" applyFont="1"/>
    <xf numFmtId="165" fontId="9" fillId="0" borderId="0" xfId="1" applyNumberFormat="1" applyFont="1" applyBorder="1" applyProtection="1"/>
    <xf numFmtId="0" fontId="6" fillId="0" borderId="0" xfId="0" applyFont="1" applyBorder="1"/>
    <xf numFmtId="37" fontId="9" fillId="0" borderId="0" xfId="0" applyNumberFormat="1" applyFont="1" applyBorder="1" applyProtection="1"/>
    <xf numFmtId="37" fontId="9" fillId="0" borderId="0" xfId="0" applyNumberFormat="1" applyFont="1" applyProtection="1"/>
    <xf numFmtId="0" fontId="8" fillId="0" borderId="0" xfId="0" quotePrefix="1" applyFont="1" applyAlignment="1" applyProtection="1">
      <alignment horizontal="center"/>
    </xf>
    <xf numFmtId="37" fontId="8" fillId="0" borderId="0" xfId="0" applyNumberFormat="1" applyFont="1" applyBorder="1" applyProtection="1"/>
    <xf numFmtId="0" fontId="9" fillId="0" borderId="0" xfId="0" quotePrefix="1" applyFont="1" applyAlignment="1" applyProtection="1">
      <alignment horizontal="center"/>
    </xf>
    <xf numFmtId="0" fontId="4" fillId="0" borderId="3" xfId="0" applyFont="1" applyBorder="1"/>
    <xf numFmtId="0" fontId="6" fillId="0" borderId="0" xfId="0" applyFont="1" applyBorder="1" applyAlignment="1">
      <alignment horizontal="center"/>
    </xf>
    <xf numFmtId="9" fontId="7" fillId="0" borderId="0" xfId="0" applyNumberFormat="1" applyFont="1" applyBorder="1"/>
    <xf numFmtId="0" fontId="4" fillId="0" borderId="0" xfId="0" applyFont="1" applyBorder="1" applyAlignment="1">
      <alignment horizontal="center"/>
    </xf>
    <xf numFmtId="9" fontId="4" fillId="0" borderId="0" xfId="4" applyFont="1" applyBorder="1"/>
    <xf numFmtId="9" fontId="4" fillId="0" borderId="3" xfId="4" applyFont="1" applyBorder="1"/>
    <xf numFmtId="41" fontId="4" fillId="0" borderId="3" xfId="0" applyNumberFormat="1" applyFont="1" applyBorder="1"/>
    <xf numFmtId="0" fontId="9" fillId="0" borderId="0" xfId="0" applyFont="1" applyBorder="1" applyAlignment="1" applyProtection="1">
      <alignment horizontal="center"/>
    </xf>
    <xf numFmtId="9" fontId="4" fillId="0" borderId="0" xfId="4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8" fillId="0" borderId="0" xfId="0" applyFont="1" applyBorder="1" applyAlignment="1" applyProtection="1">
      <alignment horizontal="left"/>
    </xf>
    <xf numFmtId="0" fontId="11" fillId="0" borderId="0" xfId="0" applyFont="1"/>
    <xf numFmtId="0" fontId="11" fillId="0" borderId="4" xfId="0" applyFont="1" applyBorder="1"/>
    <xf numFmtId="0" fontId="11" fillId="0" borderId="5" xfId="0" applyFont="1" applyBorder="1"/>
    <xf numFmtId="0" fontId="0" fillId="0" borderId="5" xfId="0" applyBorder="1"/>
    <xf numFmtId="0" fontId="0" fillId="0" borderId="6" xfId="0" applyBorder="1"/>
    <xf numFmtId="0" fontId="7" fillId="0" borderId="3" xfId="0" applyFont="1" applyBorder="1" applyAlignment="1">
      <alignment horizontal="left"/>
    </xf>
    <xf numFmtId="0" fontId="8" fillId="0" borderId="7" xfId="0" applyFont="1" applyBorder="1" applyAlignment="1" applyProtection="1">
      <alignment horizontal="center"/>
    </xf>
    <xf numFmtId="0" fontId="8" fillId="0" borderId="3" xfId="0" quotePrefix="1" applyFont="1" applyBorder="1" applyAlignment="1" applyProtection="1">
      <alignment horizontal="center"/>
    </xf>
    <xf numFmtId="37" fontId="8" fillId="0" borderId="8" xfId="0" applyNumberFormat="1" applyFont="1" applyBorder="1" applyProtection="1"/>
    <xf numFmtId="0" fontId="9" fillId="0" borderId="3" xfId="0" quotePrefix="1" applyFont="1" applyBorder="1" applyAlignment="1" applyProtection="1">
      <alignment horizontal="center"/>
    </xf>
    <xf numFmtId="37" fontId="9" fillId="0" borderId="8" xfId="0" applyNumberFormat="1" applyFont="1" applyBorder="1" applyProtection="1"/>
    <xf numFmtId="0" fontId="4" fillId="0" borderId="3" xfId="0" applyFont="1" applyBorder="1" applyAlignment="1">
      <alignment horizontal="center"/>
    </xf>
    <xf numFmtId="0" fontId="9" fillId="0" borderId="9" xfId="0" applyFont="1" applyBorder="1" applyAlignment="1" applyProtection="1">
      <alignment horizontal="center"/>
    </xf>
    <xf numFmtId="37" fontId="9" fillId="0" borderId="2" xfId="0" applyNumberFormat="1" applyFont="1" applyBorder="1" applyProtection="1"/>
    <xf numFmtId="37" fontId="9" fillId="0" borderId="10" xfId="0" applyNumberFormat="1" applyFont="1" applyBorder="1" applyProtection="1"/>
    <xf numFmtId="0" fontId="8" fillId="0" borderId="3" xfId="0" applyFont="1" applyBorder="1" applyAlignment="1" applyProtection="1">
      <alignment horizontal="center"/>
    </xf>
    <xf numFmtId="165" fontId="8" fillId="0" borderId="8" xfId="0" applyNumberFormat="1" applyFont="1" applyBorder="1" applyAlignment="1" applyProtection="1">
      <alignment horizontal="center"/>
    </xf>
    <xf numFmtId="41" fontId="9" fillId="0" borderId="8" xfId="0" applyNumberFormat="1" applyFont="1" applyBorder="1" applyAlignment="1" applyProtection="1">
      <alignment horizontal="right"/>
    </xf>
    <xf numFmtId="41" fontId="9" fillId="0" borderId="2" xfId="0" applyNumberFormat="1" applyFont="1" applyBorder="1" applyAlignment="1" applyProtection="1">
      <alignment horizontal="right"/>
    </xf>
    <xf numFmtId="41" fontId="9" fillId="0" borderId="10" xfId="0" applyNumberFormat="1" applyFont="1" applyBorder="1" applyAlignment="1" applyProtection="1">
      <alignment horizontal="right"/>
    </xf>
    <xf numFmtId="165" fontId="0" fillId="0" borderId="0" xfId="0" applyNumberFormat="1"/>
    <xf numFmtId="165" fontId="0" fillId="0" borderId="0" xfId="0" applyNumberFormat="1" applyBorder="1"/>
    <xf numFmtId="165" fontId="0" fillId="0" borderId="2" xfId="0" applyNumberFormat="1" applyBorder="1"/>
    <xf numFmtId="0" fontId="1" fillId="0" borderId="0" xfId="3"/>
    <xf numFmtId="43" fontId="1" fillId="0" borderId="0" xfId="1" applyFont="1"/>
    <xf numFmtId="17" fontId="1" fillId="0" borderId="0" xfId="3" applyNumberFormat="1"/>
    <xf numFmtId="16" fontId="1" fillId="0" borderId="0" xfId="3" applyNumberFormat="1"/>
    <xf numFmtId="43" fontId="1" fillId="0" borderId="0" xfId="1" applyFont="1" applyAlignment="1">
      <alignment horizontal="right"/>
    </xf>
    <xf numFmtId="165" fontId="8" fillId="0" borderId="10" xfId="0" applyNumberFormat="1" applyFont="1" applyBorder="1" applyAlignment="1" applyProtection="1">
      <alignment horizontal="center"/>
    </xf>
    <xf numFmtId="0" fontId="11" fillId="0" borderId="3" xfId="0" applyFont="1" applyBorder="1"/>
    <xf numFmtId="43" fontId="0" fillId="0" borderId="0" xfId="1" applyFont="1" applyBorder="1"/>
    <xf numFmtId="43" fontId="0" fillId="0" borderId="2" xfId="1" applyFont="1" applyBorder="1"/>
    <xf numFmtId="165" fontId="0" fillId="0" borderId="0" xfId="1" applyNumberFormat="1" applyFont="1" applyBorder="1"/>
    <xf numFmtId="165" fontId="0" fillId="0" borderId="2" xfId="1" applyNumberFormat="1" applyFont="1" applyBorder="1"/>
    <xf numFmtId="43" fontId="8" fillId="0" borderId="8" xfId="0" applyNumberFormat="1" applyFont="1" applyBorder="1" applyAlignment="1" applyProtection="1">
      <alignment horizontal="center"/>
    </xf>
    <xf numFmtId="43" fontId="8" fillId="0" borderId="10" xfId="0" applyNumberFormat="1" applyFont="1" applyBorder="1" applyAlignment="1" applyProtection="1">
      <alignment horizontal="center"/>
    </xf>
    <xf numFmtId="0" fontId="1" fillId="0" borderId="2" xfId="3" applyBorder="1"/>
    <xf numFmtId="43" fontId="1" fillId="0" borderId="2" xfId="1" applyFont="1" applyBorder="1" applyAlignment="1">
      <alignment horizontal="right"/>
    </xf>
    <xf numFmtId="165" fontId="0" fillId="0" borderId="0" xfId="1" applyNumberFormat="1" applyFont="1" applyFill="1" applyBorder="1"/>
    <xf numFmtId="43" fontId="1" fillId="0" borderId="0" xfId="1" applyFont="1" applyBorder="1" applyAlignment="1">
      <alignment horizontal="right"/>
    </xf>
    <xf numFmtId="43" fontId="0" fillId="0" borderId="0" xfId="1" applyFont="1" applyFill="1" applyBorder="1"/>
    <xf numFmtId="10" fontId="0" fillId="0" borderId="0" xfId="4" applyNumberFormat="1" applyFont="1"/>
    <xf numFmtId="10" fontId="0" fillId="0" borderId="0" xfId="0" applyNumberFormat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4" fontId="0" fillId="0" borderId="0" xfId="2" applyFont="1"/>
    <xf numFmtId="44" fontId="0" fillId="0" borderId="13" xfId="2" applyFont="1" applyBorder="1"/>
    <xf numFmtId="44" fontId="11" fillId="0" borderId="0" xfId="0" applyNumberFormat="1" applyFont="1"/>
    <xf numFmtId="0" fontId="0" fillId="0" borderId="0" xfId="0" applyAlignment="1">
      <alignment horizontal="right"/>
    </xf>
    <xf numFmtId="44" fontId="0" fillId="0" borderId="14" xfId="2" applyNumberFormat="1" applyFont="1" applyBorder="1"/>
    <xf numFmtId="0" fontId="0" fillId="0" borderId="15" xfId="0" applyBorder="1"/>
    <xf numFmtId="0" fontId="0" fillId="0" borderId="16" xfId="0" applyBorder="1" applyAlignment="1">
      <alignment horizontal="right"/>
    </xf>
    <xf numFmtId="0" fontId="11" fillId="0" borderId="6" xfId="0" applyFont="1" applyBorder="1"/>
    <xf numFmtId="43" fontId="8" fillId="0" borderId="8" xfId="1" applyFont="1" applyFill="1" applyBorder="1" applyAlignment="1" applyProtection="1">
      <alignment horizontal="center"/>
    </xf>
    <xf numFmtId="41" fontId="0" fillId="0" borderId="0" xfId="0" applyNumberFormat="1"/>
    <xf numFmtId="165" fontId="0" fillId="0" borderId="0" xfId="1" applyNumberFormat="1" applyFont="1"/>
    <xf numFmtId="2" fontId="0" fillId="0" borderId="0" xfId="0" applyNumberFormat="1"/>
    <xf numFmtId="0" fontId="7" fillId="0" borderId="0" xfId="0" applyFont="1" applyBorder="1"/>
    <xf numFmtId="0" fontId="6" fillId="0" borderId="0" xfId="0" applyFont="1" applyAlignment="1"/>
    <xf numFmtId="165" fontId="9" fillId="0" borderId="0" xfId="1" applyNumberFormat="1" applyFont="1" applyBorder="1" applyAlignment="1" applyProtection="1"/>
    <xf numFmtId="165" fontId="9" fillId="0" borderId="0" xfId="1" applyNumberFormat="1" applyFont="1" applyBorder="1" applyAlignment="1" applyProtection="1">
      <alignment horizontal="center"/>
    </xf>
    <xf numFmtId="165" fontId="9" fillId="0" borderId="0" xfId="0" applyNumberFormat="1" applyFont="1" applyBorder="1" applyAlignment="1" applyProtection="1">
      <alignment horizontal="center"/>
    </xf>
    <xf numFmtId="165" fontId="4" fillId="0" borderId="0" xfId="0" applyNumberFormat="1" applyFont="1" applyAlignment="1">
      <alignment horizontal="left"/>
    </xf>
    <xf numFmtId="165" fontId="9" fillId="0" borderId="0" xfId="0" applyNumberFormat="1" applyFont="1" applyBorder="1" applyProtection="1"/>
    <xf numFmtId="165" fontId="4" fillId="0" borderId="0" xfId="1" applyNumberFormat="1" applyFont="1" applyAlignment="1">
      <alignment horizontal="center"/>
    </xf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8" fillId="0" borderId="0" xfId="0" applyFont="1" applyProtection="1"/>
    <xf numFmtId="165" fontId="4" fillId="0" borderId="0" xfId="0" applyNumberFormat="1" applyFont="1"/>
    <xf numFmtId="165" fontId="4" fillId="0" borderId="0" xfId="0" applyNumberFormat="1" applyFont="1" applyAlignment="1"/>
    <xf numFmtId="41" fontId="4" fillId="0" borderId="0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0" xfId="0" applyNumberFormat="1" applyFont="1" applyBorder="1"/>
    <xf numFmtId="0" fontId="5" fillId="0" borderId="0" xfId="0" applyFont="1" applyBorder="1"/>
    <xf numFmtId="41" fontId="9" fillId="0" borderId="0" xfId="0" applyNumberFormat="1" applyFont="1" applyBorder="1" applyAlignment="1" applyProtection="1">
      <alignment horizontal="center"/>
    </xf>
    <xf numFmtId="0" fontId="9" fillId="0" borderId="0" xfId="0" quotePrefix="1" applyFont="1" applyFill="1" applyAlignment="1" applyProtection="1">
      <alignment horizontal="center"/>
    </xf>
    <xf numFmtId="165" fontId="9" fillId="0" borderId="0" xfId="1" applyNumberFormat="1" applyFont="1" applyFill="1" applyBorder="1" applyAlignment="1" applyProtection="1">
      <alignment horizontal="center"/>
    </xf>
    <xf numFmtId="0" fontId="14" fillId="0" borderId="0" xfId="0" applyFont="1"/>
    <xf numFmtId="9" fontId="15" fillId="0" borderId="0" xfId="0" applyNumberFormat="1" applyFont="1" applyProtection="1"/>
    <xf numFmtId="37" fontId="4" fillId="0" borderId="0" xfId="0" applyNumberFormat="1" applyFont="1" applyBorder="1" applyAlignment="1">
      <alignment horizontal="right"/>
    </xf>
    <xf numFmtId="0" fontId="0" fillId="0" borderId="0" xfId="0" applyFill="1"/>
    <xf numFmtId="0" fontId="16" fillId="0" borderId="0" xfId="0" applyFont="1" applyFill="1"/>
    <xf numFmtId="0" fontId="13" fillId="0" borderId="0" xfId="0" applyFont="1" applyAlignment="1">
      <alignment horizontal="left"/>
    </xf>
    <xf numFmtId="0" fontId="0" fillId="0" borderId="0" xfId="0" applyFill="1" applyBorder="1"/>
    <xf numFmtId="0" fontId="8" fillId="0" borderId="0" xfId="0" applyFont="1" applyBorder="1" applyAlignment="1" applyProtection="1">
      <alignment horizontal="center"/>
    </xf>
    <xf numFmtId="3" fontId="9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Alignment="1" applyProtection="1">
      <alignment horizontal="right"/>
    </xf>
    <xf numFmtId="2" fontId="7" fillId="0" borderId="0" xfId="0" applyNumberFormat="1" applyFont="1" applyAlignment="1">
      <alignment horizontal="center"/>
    </xf>
    <xf numFmtId="9" fontId="8" fillId="0" borderId="0" xfId="0" applyNumberFormat="1" applyFont="1" applyProtection="1"/>
    <xf numFmtId="165" fontId="9" fillId="0" borderId="0" xfId="0" applyNumberFormat="1" applyFont="1" applyBorder="1" applyAlignment="1" applyProtection="1">
      <alignment horizontal="right"/>
    </xf>
    <xf numFmtId="1" fontId="9" fillId="0" borderId="0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>
      <alignment horizontal="right"/>
    </xf>
    <xf numFmtId="9" fontId="9" fillId="0" borderId="0" xfId="0" applyNumberFormat="1" applyFont="1" applyProtection="1"/>
    <xf numFmtId="1" fontId="9" fillId="0" borderId="0" xfId="1" applyNumberFormat="1" applyFont="1" applyFill="1" applyBorder="1" applyAlignment="1" applyProtection="1">
      <alignment horizontal="right"/>
    </xf>
    <xf numFmtId="1" fontId="7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/>
    <xf numFmtId="1" fontId="4" fillId="0" borderId="0" xfId="0" applyNumberFormat="1" applyFont="1" applyBorder="1" applyAlignment="1"/>
    <xf numFmtId="0" fontId="8" fillId="0" borderId="0" xfId="0" applyFont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4" fillId="0" borderId="0" xfId="0" applyFont="1" applyBorder="1" applyAlignment="1">
      <alignment horizontal="right"/>
    </xf>
    <xf numFmtId="1" fontId="8" fillId="0" borderId="0" xfId="0" applyNumberFormat="1" applyFont="1" applyBorder="1" applyAlignment="1" applyProtection="1">
      <alignment horizontal="right"/>
    </xf>
    <xf numFmtId="1" fontId="7" fillId="0" borderId="0" xfId="0" applyNumberFormat="1" applyFont="1" applyAlignment="1"/>
    <xf numFmtId="0" fontId="9" fillId="0" borderId="0" xfId="0" applyFont="1" applyBorder="1" applyAlignment="1" applyProtection="1"/>
    <xf numFmtId="0" fontId="7" fillId="0" borderId="0" xfId="0" applyFont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_Sheet2" xfId="3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336699"/>
      <color rgb="FF0000FF"/>
      <color rgb="FF6699FF"/>
      <color rgb="FF9999FF"/>
      <color rgb="FF339933"/>
      <color rgb="FF003399"/>
      <color rgb="FF0066CC"/>
      <color rgb="FF99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Titles Recorded 2020*</a:t>
            </a:r>
            <a:r>
              <a:rPr lang="en-US" sz="1800" b="1" i="0" u="none" strike="noStrike" baseline="0"/>
              <a:t> </a:t>
            </a:r>
            <a:r>
              <a:rPr lang="en-US"/>
              <a:t> 
</a:t>
            </a:r>
          </a:p>
        </c:rich>
      </c:tx>
      <c:layout>
        <c:manualLayout>
          <c:xMode val="edge"/>
          <c:yMode val="edge"/>
          <c:x val="0.37940581200674034"/>
          <c:y val="3.79464285714285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947485604839782E-2"/>
          <c:y val="0.13020856767904013"/>
          <c:w val="0.90275980839148762"/>
          <c:h val="0.6837804649418822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Multiples!$A$31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Multiples!$B$31:$M$31</c:f>
              <c:numCache>
                <c:formatCode>0</c:formatCode>
                <c:ptCount val="12"/>
                <c:pt idx="0">
                  <c:v>8465</c:v>
                </c:pt>
                <c:pt idx="1">
                  <c:v>8328</c:v>
                </c:pt>
                <c:pt idx="2">
                  <c:v>9989</c:v>
                </c:pt>
                <c:pt idx="3">
                  <c:v>9584</c:v>
                </c:pt>
                <c:pt idx="4">
                  <c:v>10132</c:v>
                </c:pt>
                <c:pt idx="5">
                  <c:v>11261</c:v>
                </c:pt>
                <c:pt idx="6">
                  <c:v>10469</c:v>
                </c:pt>
                <c:pt idx="7">
                  <c:v>12229</c:v>
                </c:pt>
                <c:pt idx="8">
                  <c:v>11050</c:v>
                </c:pt>
                <c:pt idx="9">
                  <c:v>11302</c:v>
                </c:pt>
                <c:pt idx="10">
                  <c:v>10767</c:v>
                </c:pt>
                <c:pt idx="11">
                  <c:v>11386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A-4426-BC15-78C7027BE886}"/>
            </c:ext>
          </c:extLst>
        </c:ser>
        <c:ser>
          <c:idx val="2"/>
          <c:order val="1"/>
          <c:tx>
            <c:strRef>
              <c:f>Multiples!$A$30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Multiples!$B$26:$M$26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Multiples!$B$30:$M$30</c:f>
              <c:numCache>
                <c:formatCode>0</c:formatCode>
                <c:ptCount val="12"/>
                <c:pt idx="0">
                  <c:v>10204</c:v>
                </c:pt>
                <c:pt idx="1">
                  <c:v>8874</c:v>
                </c:pt>
                <c:pt idx="2">
                  <c:v>9813</c:v>
                </c:pt>
                <c:pt idx="3">
                  <c:v>8563</c:v>
                </c:pt>
                <c:pt idx="4">
                  <c:v>10477</c:v>
                </c:pt>
                <c:pt idx="5">
                  <c:v>10733</c:v>
                </c:pt>
                <c:pt idx="6">
                  <c:v>9806</c:v>
                </c:pt>
                <c:pt idx="7">
                  <c:v>11228</c:v>
                </c:pt>
                <c:pt idx="8">
                  <c:v>9746</c:v>
                </c:pt>
                <c:pt idx="9">
                  <c:v>10488</c:v>
                </c:pt>
                <c:pt idx="10">
                  <c:v>9713</c:v>
                </c:pt>
                <c:pt idx="11">
                  <c:v>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0A-4426-BC15-78C7027BE886}"/>
            </c:ext>
          </c:extLst>
        </c:ser>
        <c:ser>
          <c:idx val="3"/>
          <c:order val="2"/>
          <c:tx>
            <c:strRef>
              <c:f>Multiples!$A$29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Multiples!$B$26:$M$26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Multiples!$B$29:$M$29</c:f>
              <c:numCache>
                <c:formatCode>General</c:formatCode>
                <c:ptCount val="12"/>
                <c:pt idx="0">
                  <c:v>9074</c:v>
                </c:pt>
                <c:pt idx="1">
                  <c:v>7844</c:v>
                </c:pt>
                <c:pt idx="2">
                  <c:v>9353</c:v>
                </c:pt>
                <c:pt idx="3">
                  <c:v>8691</c:v>
                </c:pt>
                <c:pt idx="4">
                  <c:v>9558</c:v>
                </c:pt>
                <c:pt idx="5">
                  <c:v>8918</c:v>
                </c:pt>
                <c:pt idx="6">
                  <c:v>9599</c:v>
                </c:pt>
                <c:pt idx="7">
                  <c:v>10026</c:v>
                </c:pt>
                <c:pt idx="8">
                  <c:v>8148</c:v>
                </c:pt>
                <c:pt idx="9">
                  <c:v>8947</c:v>
                </c:pt>
                <c:pt idx="10">
                  <c:v>7437</c:v>
                </c:pt>
                <c:pt idx="11">
                  <c:v>7566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0A-4426-BC15-78C7027BE886}"/>
            </c:ext>
          </c:extLst>
        </c:ser>
        <c:ser>
          <c:idx val="1"/>
          <c:order val="3"/>
          <c:tx>
            <c:strRef>
              <c:f>Multiples!$A$28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Multiples!$B$26:$M$26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Multiples!$B$28:$M$28</c:f>
              <c:numCache>
                <c:formatCode>General</c:formatCode>
                <c:ptCount val="12"/>
                <c:pt idx="0">
                  <c:v>7176</c:v>
                </c:pt>
                <c:pt idx="1">
                  <c:v>6893</c:v>
                </c:pt>
                <c:pt idx="2">
                  <c:v>7627</c:v>
                </c:pt>
                <c:pt idx="3">
                  <c:v>8517</c:v>
                </c:pt>
                <c:pt idx="4">
                  <c:v>9552</c:v>
                </c:pt>
                <c:pt idx="5">
                  <c:v>9472</c:v>
                </c:pt>
                <c:pt idx="6">
                  <c:v>10657</c:v>
                </c:pt>
                <c:pt idx="7">
                  <c:v>11651</c:v>
                </c:pt>
                <c:pt idx="8">
                  <c:v>11943</c:v>
                </c:pt>
                <c:pt idx="9">
                  <c:v>12301</c:v>
                </c:pt>
                <c:pt idx="10">
                  <c:v>10578</c:v>
                </c:pt>
                <c:pt idx="11">
                  <c:v>11617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0A-4426-BC15-78C7027BE886}"/>
            </c:ext>
          </c:extLst>
        </c:ser>
        <c:ser>
          <c:idx val="0"/>
          <c:order val="4"/>
          <c:tx>
            <c:strRef>
              <c:f>Multiples!$A$27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Multiples!$B$26:$M$26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Multiples!$B$27:$M$27</c:f>
              <c:numCache>
                <c:formatCode>General</c:formatCode>
                <c:ptCount val="12"/>
                <c:pt idx="0">
                  <c:v>10630</c:v>
                </c:pt>
                <c:pt idx="1">
                  <c:v>9855</c:v>
                </c:pt>
                <c:pt idx="2">
                  <c:v>10529</c:v>
                </c:pt>
                <c:pt idx="3">
                  <c:v>10787</c:v>
                </c:pt>
                <c:pt idx="4">
                  <c:v>10933</c:v>
                </c:pt>
                <c:pt idx="5">
                  <c:v>14378</c:v>
                </c:pt>
                <c:pt idx="6">
                  <c:v>15820</c:v>
                </c:pt>
                <c:pt idx="7">
                  <c:v>15170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0A-4426-BC15-78C7027BE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11552"/>
        <c:axId val="218713088"/>
      </c:barChart>
      <c:catAx>
        <c:axId val="21871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871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713088"/>
        <c:scaling>
          <c:orientation val="minMax"/>
          <c:max val="15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Documents</a:t>
                </a:r>
              </a:p>
            </c:rich>
          </c:tx>
          <c:layout>
            <c:manualLayout>
              <c:xMode val="edge"/>
              <c:yMode val="edge"/>
              <c:x val="6.2197650310988253E-3"/>
              <c:y val="0.31696452005999248"/>
            </c:manualLayout>
          </c:layout>
          <c:overlay val="0"/>
        </c:title>
        <c:numFmt formatCode="_(* #,##0_);_(* \(#,##0\);_(* &quot;-&quot;_);_(@_)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8711552"/>
        <c:crosses val="autoZero"/>
        <c:crossBetween val="between"/>
        <c:majorUnit val="3000"/>
      </c:valAx>
    </c:plotArea>
    <c:legend>
      <c:legendPos val="b"/>
      <c:layout>
        <c:manualLayout>
          <c:xMode val="edge"/>
          <c:yMode val="edge"/>
          <c:x val="0.39046317206202713"/>
          <c:y val="0.90848308023996993"/>
          <c:w val="0.17055741579334605"/>
          <c:h val="5.1739380216957856E-2"/>
        </c:manualLayout>
      </c:layout>
      <c:overlay val="0"/>
    </c:legend>
    <c:plotVisOnly val="0"/>
    <c:dispBlanksAs val="gap"/>
    <c:showDLblsOverMax val="0"/>
  </c:chart>
  <c:printSettings>
    <c:headerFooter alignWithMargins="0"/>
    <c:pageMargins b="1" l="0.75" r="0.75" t="1" header="0.5" footer="0.5"/>
    <c:pageSetup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RECORDING / MARRIAGE LICENSE
TOTAL DOCUMENTS / TOTAL STAFFING</a:t>
            </a:r>
          </a:p>
        </c:rich>
      </c:tx>
      <c:layout>
        <c:manualLayout>
          <c:xMode val="edge"/>
          <c:yMode val="edge"/>
          <c:x val="0.22302915455070191"/>
          <c:y val="2.947368421052631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9"/>
      <c:rotY val="20"/>
      <c:depthPercent val="5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6473077910783273E-2"/>
          <c:y val="0.15789489915182889"/>
          <c:w val="0.58402519208355896"/>
          <c:h val="0.75579025060675431"/>
        </c:manualLayout>
      </c:layout>
      <c:bar3DChart>
        <c:barDir val="col"/>
        <c:grouping val="standard"/>
        <c:varyColors val="0"/>
        <c:ser>
          <c:idx val="0"/>
          <c:order val="0"/>
          <c:tx>
            <c:v>Total Documents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stats'!$B$147:$E$147</c:f>
              <c:strCache>
                <c:ptCount val="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</c:strCache>
            </c:strRef>
          </c:cat>
          <c:val>
            <c:numRef>
              <c:f>'old stats'!$B$150:$E$150</c:f>
              <c:numCache>
                <c:formatCode>#,##0_);\(#,##0\)</c:formatCode>
                <c:ptCount val="4"/>
                <c:pt idx="0">
                  <c:v>64207</c:v>
                </c:pt>
                <c:pt idx="1">
                  <c:v>86845</c:v>
                </c:pt>
                <c:pt idx="2">
                  <c:v>106709</c:v>
                </c:pt>
                <c:pt idx="3">
                  <c:v>111790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D-421F-BB4E-93A31B775416}"/>
            </c:ext>
          </c:extLst>
        </c:ser>
        <c:ser>
          <c:idx val="1"/>
          <c:order val="1"/>
          <c:tx>
            <c:v>Total Staffing in Hours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stats'!$B$147:$E$147</c:f>
              <c:strCache>
                <c:ptCount val="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</c:strCache>
            </c:strRef>
          </c:cat>
          <c:val>
            <c:numRef>
              <c:f>'old stats'!$B$162:$E$162</c:f>
              <c:numCache>
                <c:formatCode>#,##0.00_);\(#,##0.00\)</c:formatCode>
                <c:ptCount val="4"/>
                <c:pt idx="0">
                  <c:v>9940.6999999999989</c:v>
                </c:pt>
                <c:pt idx="1">
                  <c:v>10149.39</c:v>
                </c:pt>
                <c:pt idx="2">
                  <c:v>10197.25</c:v>
                </c:pt>
                <c:pt idx="3">
                  <c:v>12379.890000000001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D-421F-BB4E-93A31B775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319488"/>
        <c:axId val="256321024"/>
        <c:axId val="256306240"/>
      </c:bar3DChart>
      <c:catAx>
        <c:axId val="2563194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32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321024"/>
        <c:scaling>
          <c:orientation val="minMax"/>
        </c:scaling>
        <c:delete val="0"/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Total Documents</a:t>
                </a:r>
              </a:p>
            </c:rich>
          </c:tx>
          <c:layout>
            <c:manualLayout>
              <c:xMode val="edge"/>
              <c:yMode val="edge"/>
              <c:x val="1.2448132780082987E-2"/>
              <c:y val="0.463158336786848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319488"/>
        <c:crosses val="autoZero"/>
        <c:crossBetween val="between"/>
      </c:valAx>
      <c:serAx>
        <c:axId val="256306240"/>
        <c:scaling>
          <c:orientation val="minMax"/>
        </c:scaling>
        <c:delete val="0"/>
        <c:axPos val="b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321024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392120538874549"/>
          <c:y val="0.52000044205000684"/>
          <c:w val="0.99170178935101982"/>
          <c:h val="0.61052675783948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TOTAL REVENUES FOR RECORDING / MARRIAGE LICENSE
YEAR TO DATE 1994 &amp; 1995</a:t>
            </a:r>
          </a:p>
        </c:rich>
      </c:tx>
      <c:layout>
        <c:manualLayout>
          <c:xMode val="edge"/>
          <c:yMode val="edge"/>
          <c:x val="0.14871805639679656"/>
          <c:y val="3.043478260869565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8205216551699273E-2"/>
          <c:y val="0.16086973597755602"/>
          <c:w val="0.63589807281457611"/>
          <c:h val="0.75000079611157877"/>
        </c:manualLayout>
      </c:layout>
      <c:bar3DChart>
        <c:barDir val="col"/>
        <c:grouping val="standard"/>
        <c:varyColors val="0"/>
        <c:ser>
          <c:idx val="0"/>
          <c:order val="0"/>
          <c:tx>
            <c:v>TOTAL REV. 1994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stats'!$B$191:$M$191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stats'!$B$197:$M$197</c:f>
              <c:numCache>
                <c:formatCode>#,##0_);\(#,##0\)</c:formatCode>
                <c:ptCount val="12"/>
                <c:pt idx="0">
                  <c:v>76551</c:v>
                </c:pt>
                <c:pt idx="1">
                  <c:v>61024</c:v>
                </c:pt>
                <c:pt idx="2">
                  <c:v>78039</c:v>
                </c:pt>
                <c:pt idx="3">
                  <c:v>67109</c:v>
                </c:pt>
                <c:pt idx="4">
                  <c:v>65067</c:v>
                </c:pt>
                <c:pt idx="5">
                  <c:v>58868</c:v>
                </c:pt>
                <c:pt idx="6">
                  <c:v>59466</c:v>
                </c:pt>
                <c:pt idx="7">
                  <c:v>62348</c:v>
                </c:pt>
                <c:pt idx="8">
                  <c:v>53685</c:v>
                </c:pt>
                <c:pt idx="9">
                  <c:v>52301</c:v>
                </c:pt>
                <c:pt idx="10">
                  <c:v>46808</c:v>
                </c:pt>
                <c:pt idx="11">
                  <c:v>47892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A4C-8F09-FBDD2C295409}"/>
            </c:ext>
          </c:extLst>
        </c:ser>
        <c:ser>
          <c:idx val="1"/>
          <c:order val="1"/>
          <c:tx>
            <c:v>TOTAL REV. 1995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stats'!$B$191:$M$191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stats'!$B$203:$M$203</c:f>
              <c:numCache>
                <c:formatCode>#,##0_);\(#,##0\)</c:formatCode>
                <c:ptCount val="12"/>
                <c:pt idx="0">
                  <c:v>44265</c:v>
                </c:pt>
                <c:pt idx="1">
                  <c:v>34862</c:v>
                </c:pt>
                <c:pt idx="2">
                  <c:v>45727</c:v>
                </c:pt>
                <c:pt idx="3">
                  <c:v>47102</c:v>
                </c:pt>
                <c:pt idx="4">
                  <c:v>48950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A4C-8F09-FBDD2C295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369024"/>
        <c:axId val="256370560"/>
        <c:axId val="256316288"/>
      </c:bar3DChart>
      <c:catAx>
        <c:axId val="2563690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37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370560"/>
        <c:scaling>
          <c:orientation val="minMax"/>
        </c:scaling>
        <c:delete val="0"/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REVENUE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47826132602989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369024"/>
        <c:crosses val="autoZero"/>
        <c:crossBetween val="between"/>
      </c:valAx>
      <c:serAx>
        <c:axId val="256316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370560"/>
        <c:crosses val="autoZero"/>
        <c:tickLblSkip val="4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153932296924418"/>
          <c:y val="0.5195656738559854"/>
          <c:w val="0.99179584090450223"/>
          <c:h val="0.6130439347255506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TOTAL RECORDING REVENUE
YEAR TO DATE 1994 &amp; 1995</a:t>
            </a:r>
          </a:p>
        </c:rich>
      </c:tx>
      <c:layout>
        <c:manualLayout>
          <c:xMode val="edge"/>
          <c:yMode val="edge"/>
          <c:x val="0.23700623700623702"/>
          <c:y val="2.777777777777777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61"/>
      <c:rotY val="20"/>
      <c:depthPercent val="5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9397089397089402E-2"/>
          <c:y val="0.13715301030987262"/>
          <c:w val="0.60498960498960497"/>
          <c:h val="0.78993189482268411"/>
        </c:manualLayout>
      </c:layout>
      <c:bar3DChart>
        <c:barDir val="col"/>
        <c:grouping val="standard"/>
        <c:varyColors val="0"/>
        <c:ser>
          <c:idx val="0"/>
          <c:order val="0"/>
          <c:tx>
            <c:v>Recording Rev. 1994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stats'!$B$238:$M$238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stats'!$B$242:$M$242</c:f>
              <c:numCache>
                <c:formatCode>#,##0_);\(#,##0\)</c:formatCode>
                <c:ptCount val="12"/>
                <c:pt idx="0">
                  <c:v>52347</c:v>
                </c:pt>
                <c:pt idx="1">
                  <c:v>38172</c:v>
                </c:pt>
                <c:pt idx="2">
                  <c:v>49008</c:v>
                </c:pt>
                <c:pt idx="3">
                  <c:v>43037</c:v>
                </c:pt>
                <c:pt idx="4">
                  <c:v>40194</c:v>
                </c:pt>
                <c:pt idx="5">
                  <c:v>34939</c:v>
                </c:pt>
                <c:pt idx="6">
                  <c:v>28617</c:v>
                </c:pt>
                <c:pt idx="7">
                  <c:v>37263</c:v>
                </c:pt>
                <c:pt idx="8">
                  <c:v>32460</c:v>
                </c:pt>
                <c:pt idx="9">
                  <c:v>32651</c:v>
                </c:pt>
                <c:pt idx="10">
                  <c:v>28494</c:v>
                </c:pt>
                <c:pt idx="11">
                  <c:v>28362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D29-AB5A-0F6AEA138CAB}"/>
            </c:ext>
          </c:extLst>
        </c:ser>
        <c:ser>
          <c:idx val="1"/>
          <c:order val="1"/>
          <c:tx>
            <c:v>Recording Rev. 1995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stats'!$B$238:$M$238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stats'!$B$248:$M$248</c:f>
              <c:numCache>
                <c:formatCode>#,##0_);\(#,##0\)</c:formatCode>
                <c:ptCount val="12"/>
                <c:pt idx="0">
                  <c:v>27834</c:v>
                </c:pt>
                <c:pt idx="1">
                  <c:v>19576</c:v>
                </c:pt>
                <c:pt idx="2">
                  <c:v>27109</c:v>
                </c:pt>
                <c:pt idx="3">
                  <c:v>29761</c:v>
                </c:pt>
                <c:pt idx="4">
                  <c:v>29109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D29-AB5A-0F6AEA138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475904"/>
        <c:axId val="256477440"/>
        <c:axId val="256317632"/>
      </c:bar3DChart>
      <c:catAx>
        <c:axId val="2564759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7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477440"/>
        <c:scaling>
          <c:orientation val="minMax"/>
        </c:scaling>
        <c:delete val="0"/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RECORDING REVENUE</a:t>
                </a:r>
              </a:p>
            </c:rich>
          </c:tx>
          <c:layout>
            <c:manualLayout>
              <c:xMode val="edge"/>
              <c:yMode val="edge"/>
              <c:x val="1.2474012474012475E-2"/>
              <c:y val="0.414931284631087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75904"/>
        <c:crosses val="autoZero"/>
        <c:crossBetween val="between"/>
      </c:valAx>
      <c:serAx>
        <c:axId val="256317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77440"/>
        <c:crosses val="autoZero"/>
        <c:tickLblSkip val="4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719334719334716"/>
          <c:y val="0.52083424467774864"/>
          <c:w val="0.99168399168399168"/>
          <c:h val="0.595487204724409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TOTAL MARRIAGE LICENSE REVENUE
YEAR TO DATE 1994 &amp; 1995</a:t>
            </a:r>
          </a:p>
        </c:rich>
      </c:tx>
      <c:layout>
        <c:manualLayout>
          <c:xMode val="edge"/>
          <c:yMode val="edge"/>
          <c:x val="0.21516404199475064"/>
          <c:y val="2.86225402504472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7"/>
      <c:rotY val="20"/>
      <c:depthPercent val="5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942663445476321E-2"/>
          <c:y val="0.13953500560344714"/>
          <c:w val="0.63422162876898536"/>
          <c:h val="0.78533163410145257"/>
        </c:manualLayout>
      </c:layout>
      <c:bar3DChart>
        <c:barDir val="col"/>
        <c:grouping val="standard"/>
        <c:varyColors val="0"/>
        <c:ser>
          <c:idx val="0"/>
          <c:order val="0"/>
          <c:tx>
            <c:v>Marriage Rev. 1994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stats'!$B$286:$M$286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stats'!$B$291:$M$291</c:f>
              <c:numCache>
                <c:formatCode>#,##0_);\(#,##0\)</c:formatCode>
                <c:ptCount val="12"/>
                <c:pt idx="0">
                  <c:v>1272</c:v>
                </c:pt>
                <c:pt idx="1">
                  <c:v>1936</c:v>
                </c:pt>
                <c:pt idx="2">
                  <c:v>2232</c:v>
                </c:pt>
                <c:pt idx="3">
                  <c:v>1928</c:v>
                </c:pt>
                <c:pt idx="4">
                  <c:v>2408</c:v>
                </c:pt>
                <c:pt idx="5">
                  <c:v>2704</c:v>
                </c:pt>
                <c:pt idx="6">
                  <c:v>2832</c:v>
                </c:pt>
                <c:pt idx="7">
                  <c:v>3440</c:v>
                </c:pt>
                <c:pt idx="8">
                  <c:v>2368</c:v>
                </c:pt>
                <c:pt idx="9">
                  <c:v>1632</c:v>
                </c:pt>
                <c:pt idx="10">
                  <c:v>1688</c:v>
                </c:pt>
                <c:pt idx="11">
                  <c:v>1864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1-48BA-AF26-6FF11DF4AFDF}"/>
            </c:ext>
          </c:extLst>
        </c:ser>
        <c:ser>
          <c:idx val="1"/>
          <c:order val="1"/>
          <c:tx>
            <c:v>Marriage Rev. 1995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stats'!$B$286:$M$286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stats'!$B$297:$M$297</c:f>
              <c:numCache>
                <c:formatCode>#,##0_);\(#,##0\)</c:formatCode>
                <c:ptCount val="12"/>
                <c:pt idx="0">
                  <c:v>1432</c:v>
                </c:pt>
                <c:pt idx="1">
                  <c:v>1712</c:v>
                </c:pt>
                <c:pt idx="2">
                  <c:v>1960</c:v>
                </c:pt>
                <c:pt idx="3">
                  <c:v>1888</c:v>
                </c:pt>
                <c:pt idx="4">
                  <c:v>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1-48BA-AF26-6FF11DF4A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529920"/>
        <c:axId val="256531456"/>
        <c:axId val="256491520"/>
      </c:bar3DChart>
      <c:catAx>
        <c:axId val="25652992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53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531456"/>
        <c:scaling>
          <c:orientation val="minMax"/>
        </c:scaling>
        <c:delete val="0"/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Marriage Revenue</a:t>
                </a:r>
              </a:p>
            </c:rich>
          </c:tx>
          <c:layout>
            <c:manualLayout>
              <c:xMode val="edge"/>
              <c:yMode val="edge"/>
              <c:x val="1.1270491803278689E-2"/>
              <c:y val="0.449016475802778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529920"/>
        <c:crosses val="autoZero"/>
        <c:crossBetween val="between"/>
      </c:valAx>
      <c:serAx>
        <c:axId val="256491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531456"/>
        <c:crosses val="autoZero"/>
        <c:tickLblSkip val="4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758239748719933"/>
          <c:y val="0.52057282642889668"/>
          <c:w val="0.99180381653113037"/>
          <c:h val="0.5974959033519735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TOTAL RECORDING / MARRIAGE LICENSE REVENUE
FOR YEARS 1991 THRU PROJECTED 1995</a:t>
            </a:r>
          </a:p>
        </c:rich>
      </c:tx>
      <c:layout>
        <c:manualLayout>
          <c:xMode val="edge"/>
          <c:yMode val="edge"/>
          <c:x val="0.16905748461770148"/>
          <c:y val="3.258145363408521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8"/>
      <c:rotY val="20"/>
      <c:depthPercent val="5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528693291682655E-2"/>
          <c:y val="0.18045156947928778"/>
          <c:w val="0.62807408470983517"/>
          <c:h val="0.71930000611882761"/>
        </c:manualLayout>
      </c:layout>
      <c:bar3DChart>
        <c:barDir val="col"/>
        <c:grouping val="standard"/>
        <c:varyColors val="0"/>
        <c:ser>
          <c:idx val="0"/>
          <c:order val="0"/>
          <c:tx>
            <c:v>RECORDING REV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stats'!$B$323:$F$323</c:f>
              <c:strCache>
                <c:ptCount val="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Proj. 1995</c:v>
                </c:pt>
              </c:strCache>
            </c:strRef>
          </c:cat>
          <c:val>
            <c:numRef>
              <c:f>'old stats'!$B$324:$F$324</c:f>
              <c:numCache>
                <c:formatCode>#,##0_);\(#,##0\)</c:formatCode>
                <c:ptCount val="5"/>
                <c:pt idx="0">
                  <c:v>261110</c:v>
                </c:pt>
                <c:pt idx="1">
                  <c:v>376583</c:v>
                </c:pt>
                <c:pt idx="2">
                  <c:v>437836</c:v>
                </c:pt>
                <c:pt idx="3">
                  <c:v>446234</c:v>
                </c:pt>
                <c:pt idx="4">
                  <c:v>320134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7-49E5-962B-F4113F658828}"/>
            </c:ext>
          </c:extLst>
        </c:ser>
        <c:ser>
          <c:idx val="1"/>
          <c:order val="1"/>
          <c:tx>
            <c:v>MARRIAGE REV. 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stats'!$B$323:$F$323</c:f>
              <c:strCache>
                <c:ptCount val="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Proj. 1995</c:v>
                </c:pt>
              </c:strCache>
            </c:strRef>
          </c:cat>
          <c:val>
            <c:numRef>
              <c:f>'old stats'!$B$325:$F$325</c:f>
              <c:numCache>
                <c:formatCode>#,##0_);\(#,##0\)</c:formatCode>
                <c:ptCount val="5"/>
                <c:pt idx="0">
                  <c:v>30328</c:v>
                </c:pt>
                <c:pt idx="1">
                  <c:v>28664</c:v>
                </c:pt>
                <c:pt idx="2">
                  <c:v>27824</c:v>
                </c:pt>
                <c:pt idx="3">
                  <c:v>26304</c:v>
                </c:pt>
                <c:pt idx="4">
                  <c:v>22176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7-49E5-962B-F4113F658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640896"/>
        <c:axId val="256642432"/>
        <c:axId val="256493312"/>
      </c:bar3DChart>
      <c:catAx>
        <c:axId val="2566408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64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642432"/>
        <c:scaling>
          <c:orientation val="minMax"/>
        </c:scaling>
        <c:delete val="0"/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RECORDING REV</a:t>
                </a:r>
              </a:p>
            </c:rich>
          </c:tx>
          <c:layout>
            <c:manualLayout>
              <c:xMode val="edge"/>
              <c:yMode val="edge"/>
              <c:x val="1.331967213114754E-2"/>
              <c:y val="0.438597543728086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640896"/>
        <c:crosses val="autoZero"/>
        <c:crossBetween val="between"/>
      </c:valAx>
      <c:serAx>
        <c:axId val="256493312"/>
        <c:scaling>
          <c:orientation val="minMax"/>
        </c:scaling>
        <c:delete val="0"/>
        <c:axPos val="b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64243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065616797900257"/>
          <c:y val="0.52130457377038397"/>
          <c:w val="0.99180381653113026"/>
          <c:h val="0.6290742604542852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MARRIAGE LICENSES
YEAR TO DATE 1994, 1995 &amp; 1996</a:t>
            </a:r>
          </a:p>
        </c:rich>
      </c:tx>
      <c:layout>
        <c:manualLayout>
          <c:xMode val="edge"/>
          <c:yMode val="edge"/>
          <c:x val="0.26864157812755529"/>
          <c:y val="3.258145363408521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0"/>
      <c:rotY val="20"/>
      <c:depthPercent val="5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844783343167129E-2"/>
          <c:y val="0.18045156947928778"/>
          <c:w val="0.57609834657611925"/>
          <c:h val="0.65413693936241812"/>
        </c:manualLayout>
      </c:layout>
      <c:bar3DChart>
        <c:barDir val="col"/>
        <c:grouping val="standard"/>
        <c:varyColors val="0"/>
        <c:ser>
          <c:idx val="0"/>
          <c:order val="0"/>
          <c:tx>
            <c:v>Marriage Licenses 1994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stats'!$B$113:$M$113</c:f>
              <c:numCache>
                <c:formatCode>#,##0_);\(#,##0\)</c:formatCode>
                <c:ptCount val="12"/>
                <c:pt idx="0">
                  <c:v>183</c:v>
                </c:pt>
                <c:pt idx="1">
                  <c:v>244</c:v>
                </c:pt>
                <c:pt idx="2">
                  <c:v>273</c:v>
                </c:pt>
                <c:pt idx="3">
                  <c:v>241</c:v>
                </c:pt>
                <c:pt idx="4">
                  <c:v>300</c:v>
                </c:pt>
                <c:pt idx="5">
                  <c:v>327</c:v>
                </c:pt>
                <c:pt idx="6">
                  <c:v>347</c:v>
                </c:pt>
                <c:pt idx="7">
                  <c:v>407</c:v>
                </c:pt>
                <c:pt idx="8">
                  <c:v>291</c:v>
                </c:pt>
                <c:pt idx="9">
                  <c:v>203</c:v>
                </c:pt>
                <c:pt idx="10">
                  <c:v>223</c:v>
                </c:pt>
                <c:pt idx="1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1-45D9-956A-4ADCC1AEADB9}"/>
            </c:ext>
          </c:extLst>
        </c:ser>
        <c:ser>
          <c:idx val="1"/>
          <c:order val="1"/>
          <c:tx>
            <c:v>Marriage Licenses 1995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stats'!$B$116:$M$116</c:f>
              <c:numCache>
                <c:formatCode>#,##0_);\(#,##0\)</c:formatCode>
                <c:ptCount val="12"/>
                <c:pt idx="0">
                  <c:v>184</c:v>
                </c:pt>
                <c:pt idx="1">
                  <c:v>223</c:v>
                </c:pt>
                <c:pt idx="2">
                  <c:v>241</c:v>
                </c:pt>
                <c:pt idx="3">
                  <c:v>234</c:v>
                </c:pt>
                <c:pt idx="4">
                  <c:v>302</c:v>
                </c:pt>
                <c:pt idx="5">
                  <c:v>345</c:v>
                </c:pt>
                <c:pt idx="6">
                  <c:v>373</c:v>
                </c:pt>
                <c:pt idx="7">
                  <c:v>429</c:v>
                </c:pt>
                <c:pt idx="8">
                  <c:v>228</c:v>
                </c:pt>
                <c:pt idx="9">
                  <c:v>221</c:v>
                </c:pt>
                <c:pt idx="10">
                  <c:v>228</c:v>
                </c:pt>
                <c:pt idx="11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41-45D9-956A-4ADCC1AEADB9}"/>
            </c:ext>
          </c:extLst>
        </c:ser>
        <c:ser>
          <c:idx val="2"/>
          <c:order val="2"/>
          <c:tx>
            <c:v>Marriage Licenses 1996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stats'!$O$117:$Z$117</c:f>
              <c:numCache>
                <c:formatCode>General</c:formatCode>
                <c:ptCount val="12"/>
                <c:pt idx="0">
                  <c:v>159</c:v>
                </c:pt>
                <c:pt idx="1">
                  <c:v>184</c:v>
                </c:pt>
                <c:pt idx="2">
                  <c:v>219</c:v>
                </c:pt>
                <c:pt idx="3">
                  <c:v>237</c:v>
                </c:pt>
                <c:pt idx="4">
                  <c:v>272</c:v>
                </c:pt>
                <c:pt idx="5">
                  <c:v>323</c:v>
                </c:pt>
                <c:pt idx="6">
                  <c:v>372</c:v>
                </c:pt>
                <c:pt idx="7">
                  <c:v>348</c:v>
                </c:pt>
                <c:pt idx="8">
                  <c:v>264</c:v>
                </c:pt>
                <c:pt idx="9">
                  <c:v>218</c:v>
                </c:pt>
                <c:pt idx="10">
                  <c:v>181</c:v>
                </c:pt>
                <c:pt idx="11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41-45D9-956A-4ADCC1AEA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707584"/>
        <c:axId val="256709760"/>
        <c:axId val="256651264"/>
      </c:bar3DChart>
      <c:catAx>
        <c:axId val="25670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Months</a:t>
                </a:r>
              </a:p>
            </c:rich>
          </c:tx>
          <c:layout>
            <c:manualLayout>
              <c:xMode val="edge"/>
              <c:yMode val="edge"/>
              <c:x val="0.34116466800179091"/>
              <c:y val="0.749375275458988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70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709760"/>
        <c:scaling>
          <c:orientation val="minMax"/>
        </c:scaling>
        <c:delete val="0"/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MARRIAGE LICENSES</a:t>
                </a:r>
              </a:p>
            </c:rich>
          </c:tx>
          <c:layout>
            <c:manualLayout>
              <c:xMode val="edge"/>
              <c:yMode val="edge"/>
              <c:x val="1.3278855975485188E-2"/>
              <c:y val="0.438597543728086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707584"/>
        <c:crosses val="autoZero"/>
        <c:crossBetween val="between"/>
      </c:valAx>
      <c:serAx>
        <c:axId val="256651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709760"/>
        <c:crosses val="autoZero"/>
        <c:tickLblSkip val="4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3043965265322428"/>
          <c:y val="0.49373565146461962"/>
          <c:w val="0.99182893251724535"/>
          <c:h val="0.6541369170958893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Recording / Marriage License 
Documents per FTE for years 1991 thru projected 1995</a:t>
            </a:r>
          </a:p>
        </c:rich>
      </c:tx>
      <c:layout>
        <c:manualLayout>
          <c:xMode val="edge"/>
          <c:yMode val="edge"/>
          <c:x val="0.2492309845884649"/>
          <c:y val="3.147699757869249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5384710922186422E-2"/>
          <c:y val="0.20338983050847459"/>
          <c:w val="0.69128274367261988"/>
          <c:h val="0.69007263922518158"/>
        </c:manualLayout>
      </c:layout>
      <c:lineChart>
        <c:grouping val="standard"/>
        <c:varyColors val="0"/>
        <c:ser>
          <c:idx val="0"/>
          <c:order val="0"/>
          <c:tx>
            <c:v>Documents per Employee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'old stats'!$B$351:$F$351</c:f>
              <c:strCache>
                <c:ptCount val="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Proj. 1995</c:v>
                </c:pt>
              </c:strCache>
            </c:strRef>
          </c:cat>
          <c:val>
            <c:numRef>
              <c:f>'old stats'!$B$354:$F$354</c:f>
              <c:numCache>
                <c:formatCode>#,##0_);\(#,##0\)</c:formatCode>
                <c:ptCount val="5"/>
                <c:pt idx="0">
                  <c:v>13434.723912802921</c:v>
                </c:pt>
                <c:pt idx="1">
                  <c:v>17797.877507909343</c:v>
                </c:pt>
                <c:pt idx="2">
                  <c:v>21766.134987374047</c:v>
                </c:pt>
                <c:pt idx="3">
                  <c:v>18718</c:v>
                </c:pt>
                <c:pt idx="4">
                  <c:v>14898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C1-4FE9-BA04-8B25F0C4C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735488"/>
        <c:axId val="256745856"/>
      </c:lineChart>
      <c:catAx>
        <c:axId val="2567354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74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745856"/>
        <c:scaling>
          <c:orientation val="minMax"/>
        </c:scaling>
        <c:delete val="0"/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Total Documents</a:t>
                </a:r>
              </a:p>
            </c:rich>
          </c:tx>
          <c:layout>
            <c:manualLayout>
              <c:xMode val="edge"/>
              <c:yMode val="edge"/>
              <c:x val="1.641025641025641E-2"/>
              <c:y val="0.423728813559322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7354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794947170065278"/>
          <c:y val="0.52300242130750607"/>
          <c:w val="0.99179584090450223"/>
          <c:h val="0.5762711864406779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RECORDING / MARRIAGE LICENSE
Documents per FTE for years 1985 thru projected 1995</a:t>
            </a:r>
          </a:p>
        </c:rich>
      </c:tx>
      <c:layout>
        <c:manualLayout>
          <c:xMode val="edge"/>
          <c:yMode val="edge"/>
          <c:x val="0.24906015037593984"/>
          <c:y val="2.763385146804835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7406015037593987E-2"/>
          <c:y val="0.15716779530945615"/>
          <c:w val="0.71710526315789469"/>
          <c:h val="0.76684067161976399"/>
        </c:manualLayout>
      </c:layout>
      <c:lineChart>
        <c:grouping val="standard"/>
        <c:varyColors val="0"/>
        <c:ser>
          <c:idx val="0"/>
          <c:order val="0"/>
          <c:tx>
            <c:v>Documents per Employee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'old stats'!$B$389:$L$389</c:f>
              <c:strCache>
                <c:ptCount val="1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Proj. 1995</c:v>
                </c:pt>
              </c:strCache>
            </c:strRef>
          </c:cat>
          <c:val>
            <c:numRef>
              <c:f>'old stats'!$B$392:$L$392</c:f>
              <c:numCache>
                <c:formatCode>#,##0_);\(#,##0\)</c:formatCode>
                <c:ptCount val="11"/>
                <c:pt idx="0">
                  <c:v>10366.444444444445</c:v>
                </c:pt>
                <c:pt idx="1">
                  <c:v>11267.346938775509</c:v>
                </c:pt>
                <c:pt idx="2">
                  <c:v>12247.755102040815</c:v>
                </c:pt>
                <c:pt idx="3">
                  <c:v>11873.061224489795</c:v>
                </c:pt>
                <c:pt idx="4">
                  <c:v>10838.979591836734</c:v>
                </c:pt>
                <c:pt idx="5">
                  <c:v>12685.510204081631</c:v>
                </c:pt>
                <c:pt idx="6">
                  <c:v>13434.723912802921</c:v>
                </c:pt>
                <c:pt idx="7">
                  <c:v>17797.877507909343</c:v>
                </c:pt>
                <c:pt idx="8">
                  <c:v>21766.134987374047</c:v>
                </c:pt>
                <c:pt idx="9">
                  <c:v>18718</c:v>
                </c:pt>
                <c:pt idx="10">
                  <c:v>14898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6-496C-9F09-A45F42C62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15200"/>
        <c:axId val="257317120"/>
      </c:lineChart>
      <c:catAx>
        <c:axId val="25731520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31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317120"/>
        <c:scaling>
          <c:orientation val="minMax"/>
        </c:scaling>
        <c:delete val="0"/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Total Documents</a:t>
                </a:r>
              </a:p>
            </c:rich>
          </c:tx>
          <c:layout>
            <c:manualLayout>
              <c:xMode val="edge"/>
              <c:yMode val="edge"/>
              <c:x val="1.5037593984962405E-2"/>
              <c:y val="0.452505043087230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3152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484962406015038"/>
          <c:y val="0.52158985308183625"/>
          <c:w val="0.99248120300751885"/>
          <c:h val="0.5595863988504027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Documents Recorded Excluding Marriage Licenses
</a:t>
            </a:r>
          </a:p>
        </c:rich>
      </c:tx>
      <c:layout>
        <c:manualLayout>
          <c:xMode val="edge"/>
          <c:yMode val="edge"/>
          <c:x val="0.2830706682569408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472956940540444E-2"/>
          <c:y val="0.11665849480252327"/>
          <c:w val="0.90061716227174349"/>
          <c:h val="0.7024367557613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'Doc excl. Marriage'!$B$27:$M$27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'Doc excl. Marriage'!$B$32:$M$32</c:f>
              <c:numCache>
                <c:formatCode>0</c:formatCode>
                <c:ptCount val="12"/>
                <c:pt idx="0">
                  <c:v>8163</c:v>
                </c:pt>
                <c:pt idx="1">
                  <c:v>8017</c:v>
                </c:pt>
                <c:pt idx="2">
                  <c:v>9617</c:v>
                </c:pt>
                <c:pt idx="3">
                  <c:v>9220</c:v>
                </c:pt>
                <c:pt idx="4">
                  <c:v>9643</c:v>
                </c:pt>
                <c:pt idx="5">
                  <c:v>10669</c:v>
                </c:pt>
                <c:pt idx="6">
                  <c:v>9792</c:v>
                </c:pt>
                <c:pt idx="7">
                  <c:v>11419</c:v>
                </c:pt>
                <c:pt idx="8">
                  <c:v>10436</c:v>
                </c:pt>
                <c:pt idx="9">
                  <c:v>10909</c:v>
                </c:pt>
                <c:pt idx="10">
                  <c:v>10410</c:v>
                </c:pt>
                <c:pt idx="11">
                  <c:v>11023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C-44F8-A466-C964B87AFAEF}"/>
            </c:ext>
          </c:extLst>
        </c:ser>
        <c:ser>
          <c:idx val="4"/>
          <c:order val="1"/>
          <c:tx>
            <c:v>2017</c:v>
          </c:tx>
          <c:invertIfNegative val="0"/>
          <c:cat>
            <c:strRef>
              <c:f>'Doc excl. Marriage'!$B$27:$M$27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'Doc excl. Marriage'!$B$31:$M$31</c:f>
              <c:numCache>
                <c:formatCode>0</c:formatCode>
                <c:ptCount val="12"/>
                <c:pt idx="0">
                  <c:v>9903</c:v>
                </c:pt>
                <c:pt idx="1">
                  <c:v>8584</c:v>
                </c:pt>
                <c:pt idx="2">
                  <c:v>9357</c:v>
                </c:pt>
                <c:pt idx="3">
                  <c:v>8253</c:v>
                </c:pt>
                <c:pt idx="4">
                  <c:v>10068</c:v>
                </c:pt>
                <c:pt idx="5">
                  <c:v>10046</c:v>
                </c:pt>
                <c:pt idx="6">
                  <c:v>9054</c:v>
                </c:pt>
                <c:pt idx="7">
                  <c:v>10358</c:v>
                </c:pt>
                <c:pt idx="8">
                  <c:v>9127</c:v>
                </c:pt>
                <c:pt idx="9">
                  <c:v>10025</c:v>
                </c:pt>
                <c:pt idx="10">
                  <c:v>9372</c:v>
                </c:pt>
                <c:pt idx="11">
                  <c:v>8522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C-44F8-A466-C964B87AFAEF}"/>
            </c:ext>
          </c:extLst>
        </c:ser>
        <c:ser>
          <c:idx val="0"/>
          <c:order val="2"/>
          <c:tx>
            <c:v>2018</c:v>
          </c:tx>
          <c:invertIfNegative val="0"/>
          <c:cat>
            <c:strRef>
              <c:f>'Doc excl. Marriage'!$B$27:$M$27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'Doc excl. Marriage'!$B$30:$M$30</c:f>
              <c:numCache>
                <c:formatCode>General</c:formatCode>
                <c:ptCount val="12"/>
                <c:pt idx="0">
                  <c:v>8742</c:v>
                </c:pt>
                <c:pt idx="1">
                  <c:v>7597</c:v>
                </c:pt>
                <c:pt idx="2">
                  <c:v>9004</c:v>
                </c:pt>
                <c:pt idx="3">
                  <c:v>8353</c:v>
                </c:pt>
                <c:pt idx="4">
                  <c:v>9087</c:v>
                </c:pt>
                <c:pt idx="5">
                  <c:v>8286</c:v>
                </c:pt>
                <c:pt idx="6">
                  <c:v>8824</c:v>
                </c:pt>
                <c:pt idx="7">
                  <c:v>9147</c:v>
                </c:pt>
                <c:pt idx="8">
                  <c:v>7555</c:v>
                </c:pt>
                <c:pt idx="9">
                  <c:v>8444</c:v>
                </c:pt>
                <c:pt idx="10">
                  <c:v>7460</c:v>
                </c:pt>
                <c:pt idx="11">
                  <c:v>7204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1C-44F8-A466-C964B87AFAEF}"/>
            </c:ext>
          </c:extLst>
        </c:ser>
        <c:ser>
          <c:idx val="2"/>
          <c:order val="3"/>
          <c:tx>
            <c:v>2019</c:v>
          </c:tx>
          <c:invertIfNegative val="0"/>
          <c:cat>
            <c:strRef>
              <c:f>'Doc excl. Marriage'!$B$27:$M$27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'Doc excl. Marriage'!$B$29:$M$29</c:f>
              <c:numCache>
                <c:formatCode>General</c:formatCode>
                <c:ptCount val="12"/>
                <c:pt idx="0">
                  <c:v>6886</c:v>
                </c:pt>
                <c:pt idx="1">
                  <c:v>6598</c:v>
                </c:pt>
                <c:pt idx="2">
                  <c:v>7288</c:v>
                </c:pt>
                <c:pt idx="3">
                  <c:v>8167</c:v>
                </c:pt>
                <c:pt idx="4">
                  <c:v>9041</c:v>
                </c:pt>
                <c:pt idx="5">
                  <c:v>8916</c:v>
                </c:pt>
                <c:pt idx="6">
                  <c:v>9875</c:v>
                </c:pt>
                <c:pt idx="7">
                  <c:v>10873</c:v>
                </c:pt>
                <c:pt idx="8">
                  <c:v>11304</c:v>
                </c:pt>
                <c:pt idx="9">
                  <c:v>11836</c:v>
                </c:pt>
                <c:pt idx="10">
                  <c:v>10258</c:v>
                </c:pt>
                <c:pt idx="11">
                  <c:v>11259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1C-44F8-A466-C964B87AFAEF}"/>
            </c:ext>
          </c:extLst>
        </c:ser>
        <c:ser>
          <c:idx val="3"/>
          <c:order val="4"/>
          <c:tx>
            <c:strRef>
              <c:f>'Doc excl. Marriage'!$A$28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'Doc excl. Marriage'!$B$27:$M$27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'Doc excl. Marriage'!$B$28:$M$28</c:f>
              <c:numCache>
                <c:formatCode>General</c:formatCode>
                <c:ptCount val="12"/>
                <c:pt idx="0">
                  <c:v>10352</c:v>
                </c:pt>
                <c:pt idx="1">
                  <c:v>9531</c:v>
                </c:pt>
                <c:pt idx="2">
                  <c:v>10599</c:v>
                </c:pt>
                <c:pt idx="3">
                  <c:v>10594</c:v>
                </c:pt>
                <c:pt idx="4">
                  <c:v>10693</c:v>
                </c:pt>
                <c:pt idx="5">
                  <c:v>13989</c:v>
                </c:pt>
                <c:pt idx="6">
                  <c:v>15287</c:v>
                </c:pt>
                <c:pt idx="7">
                  <c:v>14568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1C-44F8-A466-C964B87AF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24064"/>
        <c:axId val="210175104"/>
      </c:barChart>
      <c:catAx>
        <c:axId val="21882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17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75104"/>
        <c:scaling>
          <c:orientation val="minMax"/>
          <c:max val="13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Documents</a:t>
                </a:r>
              </a:p>
            </c:rich>
          </c:tx>
          <c:layout>
            <c:manualLayout>
              <c:xMode val="edge"/>
              <c:yMode val="edge"/>
              <c:x val="3.4270047978067169E-3"/>
              <c:y val="0.3080359486314210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824064"/>
        <c:crosses val="autoZero"/>
        <c:crossBetween val="between"/>
        <c:majorUnit val="3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836901015897191"/>
          <c:y val="0.91533670647348553"/>
          <c:w val="0.226632060794317"/>
          <c:h val="5.492433966203565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Marriage Licenses Applications Only</a:t>
            </a:r>
          </a:p>
        </c:rich>
      </c:tx>
      <c:layout>
        <c:manualLayout>
          <c:xMode val="edge"/>
          <c:yMode val="edge"/>
          <c:x val="0.3522491349480969"/>
          <c:y val="3.1319910514541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84775086505188E-2"/>
          <c:y val="0.16107417740268762"/>
          <c:w val="0.90865051903114191"/>
          <c:h val="0.6219252960825995"/>
        </c:manualLayout>
      </c:layout>
      <c:barChart>
        <c:barDir val="col"/>
        <c:grouping val="clustered"/>
        <c:varyColors val="0"/>
        <c:ser>
          <c:idx val="4"/>
          <c:order val="0"/>
          <c:tx>
            <c:v>2007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Marriage!$B$25:$M$25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 </c:v>
                </c:pt>
                <c:pt idx="7">
                  <c:v>Aug </c:v>
                </c:pt>
                <c:pt idx="8">
                  <c:v>Sep </c:v>
                </c:pt>
                <c:pt idx="9">
                  <c:v>Oct 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Marriage!$B$39:$M$39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158</c:v>
                </c:pt>
                <c:pt idx="2">
                  <c:v>179</c:v>
                </c:pt>
                <c:pt idx="3">
                  <c:v>179</c:v>
                </c:pt>
                <c:pt idx="4">
                  <c:v>272</c:v>
                </c:pt>
                <c:pt idx="5">
                  <c:v>370</c:v>
                </c:pt>
                <c:pt idx="6">
                  <c:v>359</c:v>
                </c:pt>
                <c:pt idx="7">
                  <c:v>356</c:v>
                </c:pt>
                <c:pt idx="8">
                  <c:v>186</c:v>
                </c:pt>
                <c:pt idx="9">
                  <c:v>181</c:v>
                </c:pt>
                <c:pt idx="10">
                  <c:v>143</c:v>
                </c:pt>
                <c:pt idx="11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0-4802-8A15-194D0067EF9B}"/>
            </c:ext>
          </c:extLst>
        </c:ser>
        <c:ser>
          <c:idx val="0"/>
          <c:order val="1"/>
          <c:tx>
            <c:v>2008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Marriage!$B$25:$M$25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 </c:v>
                </c:pt>
                <c:pt idx="7">
                  <c:v>Aug </c:v>
                </c:pt>
                <c:pt idx="8">
                  <c:v>Sep </c:v>
                </c:pt>
                <c:pt idx="9">
                  <c:v>Oct 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Marriage!$B$38:$M$38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182</c:v>
                </c:pt>
                <c:pt idx="2">
                  <c:v>165</c:v>
                </c:pt>
                <c:pt idx="3">
                  <c:v>168</c:v>
                </c:pt>
                <c:pt idx="4">
                  <c:v>231</c:v>
                </c:pt>
                <c:pt idx="5">
                  <c:v>239</c:v>
                </c:pt>
                <c:pt idx="6">
                  <c:v>388</c:v>
                </c:pt>
                <c:pt idx="7">
                  <c:v>338</c:v>
                </c:pt>
                <c:pt idx="8">
                  <c:v>228</c:v>
                </c:pt>
                <c:pt idx="9">
                  <c:v>212</c:v>
                </c:pt>
                <c:pt idx="10">
                  <c:v>134</c:v>
                </c:pt>
                <c:pt idx="11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10-4802-8A15-194D0067EF9B}"/>
            </c:ext>
          </c:extLst>
        </c:ser>
        <c:ser>
          <c:idx val="1"/>
          <c:order val="2"/>
          <c:tx>
            <c:v>2009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Marriage!$B$25:$M$25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 </c:v>
                </c:pt>
                <c:pt idx="7">
                  <c:v>Aug </c:v>
                </c:pt>
                <c:pt idx="8">
                  <c:v>Sep </c:v>
                </c:pt>
                <c:pt idx="9">
                  <c:v>Oct 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Marriage!$B$37:$M$37</c:f>
              <c:numCache>
                <c:formatCode>_(* #,##0_);_(* \(#,##0\);_(* "-"??_);_(@_)</c:formatCode>
                <c:ptCount val="12"/>
                <c:pt idx="0">
                  <c:v>136</c:v>
                </c:pt>
                <c:pt idx="1">
                  <c:v>168</c:v>
                </c:pt>
                <c:pt idx="2">
                  <c:v>183</c:v>
                </c:pt>
                <c:pt idx="3">
                  <c:v>178</c:v>
                </c:pt>
                <c:pt idx="4">
                  <c:v>220</c:v>
                </c:pt>
                <c:pt idx="5">
                  <c:v>288</c:v>
                </c:pt>
                <c:pt idx="6">
                  <c:v>356</c:v>
                </c:pt>
                <c:pt idx="7">
                  <c:v>361</c:v>
                </c:pt>
                <c:pt idx="8">
                  <c:v>236</c:v>
                </c:pt>
                <c:pt idx="9">
                  <c:v>211</c:v>
                </c:pt>
                <c:pt idx="10">
                  <c:v>125</c:v>
                </c:pt>
                <c:pt idx="11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10-4802-8A15-194D0067EF9B}"/>
            </c:ext>
          </c:extLst>
        </c:ser>
        <c:ser>
          <c:idx val="2"/>
          <c:order val="3"/>
          <c:tx>
            <c:v>2010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Marriage!$B$36:$M$36</c:f>
              <c:numCache>
                <c:formatCode>_(* #,##0_);_(* \(#,##0\);_(* "-"??_);_(@_)</c:formatCode>
                <c:ptCount val="12"/>
                <c:pt idx="0">
                  <c:v>114</c:v>
                </c:pt>
                <c:pt idx="1">
                  <c:v>138</c:v>
                </c:pt>
                <c:pt idx="2">
                  <c:v>178</c:v>
                </c:pt>
                <c:pt idx="3">
                  <c:v>204</c:v>
                </c:pt>
                <c:pt idx="4">
                  <c:v>184</c:v>
                </c:pt>
                <c:pt idx="5">
                  <c:v>302</c:v>
                </c:pt>
                <c:pt idx="6">
                  <c:v>381</c:v>
                </c:pt>
                <c:pt idx="7">
                  <c:v>344</c:v>
                </c:pt>
                <c:pt idx="8">
                  <c:v>234</c:v>
                </c:pt>
                <c:pt idx="9">
                  <c:v>149</c:v>
                </c:pt>
                <c:pt idx="10">
                  <c:v>124</c:v>
                </c:pt>
                <c:pt idx="11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10-4802-8A15-194D0067EF9B}"/>
            </c:ext>
          </c:extLst>
        </c:ser>
        <c:ser>
          <c:idx val="3"/>
          <c:order val="4"/>
          <c:tx>
            <c:v>2011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Marriage!$B$35:$M$35</c:f>
              <c:numCache>
                <c:formatCode>_(* #,##0_);_(* \(#,##0\);_(* "-"??_);_(@_)</c:formatCode>
                <c:ptCount val="12"/>
                <c:pt idx="0">
                  <c:v>153</c:v>
                </c:pt>
                <c:pt idx="1">
                  <c:v>122</c:v>
                </c:pt>
                <c:pt idx="2">
                  <c:v>150</c:v>
                </c:pt>
                <c:pt idx="3">
                  <c:v>161</c:v>
                </c:pt>
                <c:pt idx="4">
                  <c:v>197</c:v>
                </c:pt>
                <c:pt idx="5">
                  <c:v>312</c:v>
                </c:pt>
                <c:pt idx="6">
                  <c:v>350</c:v>
                </c:pt>
                <c:pt idx="7">
                  <c:v>351</c:v>
                </c:pt>
                <c:pt idx="8">
                  <c:v>219</c:v>
                </c:pt>
                <c:pt idx="9">
                  <c:v>166</c:v>
                </c:pt>
                <c:pt idx="10">
                  <c:v>144</c:v>
                </c:pt>
                <c:pt idx="11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10-4802-8A15-194D0067E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40992"/>
        <c:axId val="255142528"/>
      </c:barChart>
      <c:catAx>
        <c:axId val="25514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14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142528"/>
        <c:scaling>
          <c:orientation val="minMax"/>
          <c:max val="4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Licenses issued</a:t>
                </a:r>
              </a:p>
            </c:rich>
          </c:tx>
          <c:layout>
            <c:manualLayout>
              <c:xMode val="edge"/>
              <c:yMode val="edge"/>
              <c:x val="3.4602076124567475E-3"/>
              <c:y val="0.2438483444602981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140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2387543252595"/>
          <c:y val="0.89709360155483908"/>
          <c:w val="0.29619377162629762"/>
          <c:h val="8.277428408697240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Marriage </a:t>
            </a:r>
            <a:r>
              <a:rPr lang="en-US" baseline="0"/>
              <a:t>Licenses</a:t>
            </a:r>
            <a:r>
              <a:rPr lang="en-US"/>
              <a:t> Applications Only</a:t>
            </a:r>
          </a:p>
        </c:rich>
      </c:tx>
      <c:layout>
        <c:manualLayout>
          <c:xMode val="edge"/>
          <c:yMode val="edge"/>
          <c:x val="0.3522491349480969"/>
          <c:y val="3.13199105145413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584775086505188E-2"/>
          <c:y val="0.16107417740268762"/>
          <c:w val="0.90865051903114191"/>
          <c:h val="0.6219252960825995"/>
        </c:manualLayout>
      </c:layout>
      <c:barChart>
        <c:barDir val="col"/>
        <c:grouping val="clustered"/>
        <c:varyColors val="0"/>
        <c:ser>
          <c:idx val="3"/>
          <c:order val="0"/>
          <c:tx>
            <c:v>2016</c:v>
          </c:tx>
          <c:spPr>
            <a:solidFill>
              <a:schemeClr val="accent5"/>
            </a:solidFill>
            <a:ln>
              <a:solidFill>
                <a:schemeClr val="accent5">
                  <a:lumMod val="50000"/>
                </a:schemeClr>
              </a:solidFill>
            </a:ln>
          </c:spPr>
          <c:invertIfNegative val="0"/>
          <c:cat>
            <c:strRef>
              <c:f>Marriage!$B$25:$M$25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 </c:v>
                </c:pt>
                <c:pt idx="7">
                  <c:v>Aug </c:v>
                </c:pt>
                <c:pt idx="8">
                  <c:v>Sep </c:v>
                </c:pt>
                <c:pt idx="9">
                  <c:v>Oct 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Marriage!$B$30:$M$30</c:f>
              <c:numCache>
                <c:formatCode>0</c:formatCode>
                <c:ptCount val="12"/>
                <c:pt idx="0">
                  <c:v>161</c:v>
                </c:pt>
                <c:pt idx="1">
                  <c:v>154</c:v>
                </c:pt>
                <c:pt idx="2">
                  <c:v>215</c:v>
                </c:pt>
                <c:pt idx="3">
                  <c:v>180</c:v>
                </c:pt>
                <c:pt idx="4">
                  <c:v>293</c:v>
                </c:pt>
                <c:pt idx="5">
                  <c:v>313</c:v>
                </c:pt>
                <c:pt idx="6">
                  <c:v>373</c:v>
                </c:pt>
                <c:pt idx="7">
                  <c:v>391</c:v>
                </c:pt>
                <c:pt idx="8">
                  <c:v>267</c:v>
                </c:pt>
                <c:pt idx="9">
                  <c:v>177</c:v>
                </c:pt>
                <c:pt idx="10">
                  <c:v>178</c:v>
                </c:pt>
                <c:pt idx="11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7-4C53-9369-77DD8DF3B6B2}"/>
            </c:ext>
          </c:extLst>
        </c:ser>
        <c:ser>
          <c:idx val="4"/>
          <c:order val="1"/>
          <c:tx>
            <c:v>2017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Marriage!$B$25:$M$25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 </c:v>
                </c:pt>
                <c:pt idx="7">
                  <c:v>Aug </c:v>
                </c:pt>
                <c:pt idx="8">
                  <c:v>Sep </c:v>
                </c:pt>
                <c:pt idx="9">
                  <c:v>Oct 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Marriage!$B$29:$M$29</c:f>
              <c:numCache>
                <c:formatCode>0</c:formatCode>
                <c:ptCount val="12"/>
                <c:pt idx="0">
                  <c:v>142</c:v>
                </c:pt>
                <c:pt idx="1">
                  <c:v>171</c:v>
                </c:pt>
                <c:pt idx="2">
                  <c:v>233</c:v>
                </c:pt>
                <c:pt idx="3">
                  <c:v>171</c:v>
                </c:pt>
                <c:pt idx="4">
                  <c:v>238</c:v>
                </c:pt>
                <c:pt idx="5">
                  <c:v>399</c:v>
                </c:pt>
                <c:pt idx="6">
                  <c:v>399</c:v>
                </c:pt>
                <c:pt idx="7">
                  <c:v>422</c:v>
                </c:pt>
                <c:pt idx="8">
                  <c:v>342</c:v>
                </c:pt>
                <c:pt idx="9">
                  <c:v>206</c:v>
                </c:pt>
                <c:pt idx="10">
                  <c:v>152</c:v>
                </c:pt>
                <c:pt idx="11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7-4C53-9369-77DD8DF3B6B2}"/>
            </c:ext>
          </c:extLst>
        </c:ser>
        <c:ser>
          <c:idx val="0"/>
          <c:order val="2"/>
          <c:tx>
            <c:v>2018</c:v>
          </c:tx>
          <c:invertIfNegative val="0"/>
          <c:cat>
            <c:strRef>
              <c:f>Marriage!$B$25:$M$25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 </c:v>
                </c:pt>
                <c:pt idx="7">
                  <c:v>Aug </c:v>
                </c:pt>
                <c:pt idx="8">
                  <c:v>Sep </c:v>
                </c:pt>
                <c:pt idx="9">
                  <c:v>Oct 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Marriage!$B$28:$M$28</c:f>
              <c:numCache>
                <c:formatCode>General</c:formatCode>
                <c:ptCount val="12"/>
                <c:pt idx="0">
                  <c:v>158</c:v>
                </c:pt>
                <c:pt idx="1">
                  <c:v>139</c:v>
                </c:pt>
                <c:pt idx="2">
                  <c:v>191</c:v>
                </c:pt>
                <c:pt idx="3">
                  <c:v>180</c:v>
                </c:pt>
                <c:pt idx="4">
                  <c:v>264</c:v>
                </c:pt>
                <c:pt idx="5">
                  <c:v>384</c:v>
                </c:pt>
                <c:pt idx="6">
                  <c:v>419</c:v>
                </c:pt>
                <c:pt idx="7">
                  <c:v>430</c:v>
                </c:pt>
                <c:pt idx="8">
                  <c:v>256</c:v>
                </c:pt>
                <c:pt idx="9">
                  <c:v>207</c:v>
                </c:pt>
                <c:pt idx="10">
                  <c:v>151</c:v>
                </c:pt>
                <c:pt idx="1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F7-4C53-9369-77DD8DF3B6B2}"/>
            </c:ext>
          </c:extLst>
        </c:ser>
        <c:ser>
          <c:idx val="1"/>
          <c:order val="3"/>
          <c:tx>
            <c:v>2019</c:v>
          </c:tx>
          <c:invertIfNegative val="0"/>
          <c:cat>
            <c:strRef>
              <c:f>Marriage!$B$25:$M$25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 </c:v>
                </c:pt>
                <c:pt idx="7">
                  <c:v>Aug </c:v>
                </c:pt>
                <c:pt idx="8">
                  <c:v>Sep </c:v>
                </c:pt>
                <c:pt idx="9">
                  <c:v>Oct 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Marriage!$B$27:$M$27</c:f>
              <c:numCache>
                <c:formatCode>General</c:formatCode>
                <c:ptCount val="12"/>
                <c:pt idx="0">
                  <c:v>143</c:v>
                </c:pt>
                <c:pt idx="1">
                  <c:v>166</c:v>
                </c:pt>
                <c:pt idx="2">
                  <c:v>181</c:v>
                </c:pt>
                <c:pt idx="3">
                  <c:v>203</c:v>
                </c:pt>
                <c:pt idx="4">
                  <c:v>286</c:v>
                </c:pt>
                <c:pt idx="5">
                  <c:v>325</c:v>
                </c:pt>
                <c:pt idx="6">
                  <c:v>406</c:v>
                </c:pt>
                <c:pt idx="7">
                  <c:v>399</c:v>
                </c:pt>
                <c:pt idx="8">
                  <c:v>272</c:v>
                </c:pt>
                <c:pt idx="9">
                  <c:v>198</c:v>
                </c:pt>
                <c:pt idx="10">
                  <c:v>136</c:v>
                </c:pt>
                <c:pt idx="11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F7-4C53-9369-77DD8DF3B6B2}"/>
            </c:ext>
          </c:extLst>
        </c:ser>
        <c:ser>
          <c:idx val="2"/>
          <c:order val="4"/>
          <c:tx>
            <c:strRef>
              <c:f>Marriage!$A$26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Marriage!$B$25:$M$25</c:f>
              <c:strCache>
                <c:ptCount val="12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 </c:v>
                </c:pt>
                <c:pt idx="7">
                  <c:v>Aug </c:v>
                </c:pt>
                <c:pt idx="8">
                  <c:v>Sep </c:v>
                </c:pt>
                <c:pt idx="9">
                  <c:v>Oct </c:v>
                </c:pt>
                <c:pt idx="10">
                  <c:v>Nov </c:v>
                </c:pt>
                <c:pt idx="11">
                  <c:v>Dec</c:v>
                </c:pt>
              </c:strCache>
            </c:strRef>
          </c:cat>
          <c:val>
            <c:numRef>
              <c:f>Marriage!$B$26:$M$26</c:f>
              <c:numCache>
                <c:formatCode>General</c:formatCode>
                <c:ptCount val="12"/>
                <c:pt idx="0">
                  <c:v>138</c:v>
                </c:pt>
                <c:pt idx="1">
                  <c:v>177</c:v>
                </c:pt>
                <c:pt idx="2">
                  <c:v>129</c:v>
                </c:pt>
                <c:pt idx="3">
                  <c:v>125</c:v>
                </c:pt>
                <c:pt idx="4">
                  <c:v>150</c:v>
                </c:pt>
                <c:pt idx="5">
                  <c:v>219</c:v>
                </c:pt>
                <c:pt idx="6">
                  <c:v>321</c:v>
                </c:pt>
                <c:pt idx="7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7-4C53-9369-77DD8DF3B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83104"/>
        <c:axId val="255188992"/>
      </c:barChart>
      <c:catAx>
        <c:axId val="25518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18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18899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Licenses issued</a:t>
                </a:r>
              </a:p>
            </c:rich>
          </c:tx>
          <c:layout>
            <c:manualLayout>
              <c:xMode val="edge"/>
              <c:yMode val="edge"/>
              <c:x val="3.4602076124567475E-3"/>
              <c:y val="0.243848344460298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183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408304498269896"/>
          <c:y val="0.89709360155483908"/>
          <c:w val="0.23083770047369415"/>
          <c:h val="5.362981084560927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Recording Pages Including Marriage Applications and Certificates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'all pages'!$A$35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'all pages'!$B$28:$M$28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'all pages'!$B$35:$M$35</c:f>
            </c:numRef>
          </c:val>
          <c:extLst>
            <c:ext xmlns:c16="http://schemas.microsoft.com/office/drawing/2014/chart" uri="{C3380CC4-5D6E-409C-BE32-E72D297353CC}">
              <c16:uniqueId val="{00000000-985A-4C55-B769-A034DEF17158}"/>
            </c:ext>
          </c:extLst>
        </c:ser>
        <c:ser>
          <c:idx val="3"/>
          <c:order val="1"/>
          <c:tx>
            <c:strRef>
              <c:f>'all pages'!$A$34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'all pages'!$B$28:$M$28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'all pages'!$B$34:$M$34</c:f>
            </c:numRef>
          </c:val>
          <c:extLst>
            <c:ext xmlns:c16="http://schemas.microsoft.com/office/drawing/2014/chart" uri="{C3380CC4-5D6E-409C-BE32-E72D297353CC}">
              <c16:uniqueId val="{00000001-985A-4C55-B769-A034DEF17158}"/>
            </c:ext>
          </c:extLst>
        </c:ser>
        <c:ser>
          <c:idx val="2"/>
          <c:order val="2"/>
          <c:tx>
            <c:strRef>
              <c:f>'all pages'!$A$33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'all pages'!$B$28:$M$28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'all pages'!$B$33:$M$33</c:f>
              <c:numCache>
                <c:formatCode>0</c:formatCode>
                <c:ptCount val="12"/>
                <c:pt idx="0">
                  <c:v>41498</c:v>
                </c:pt>
                <c:pt idx="1">
                  <c:v>42833</c:v>
                </c:pt>
                <c:pt idx="2">
                  <c:v>57053</c:v>
                </c:pt>
                <c:pt idx="3">
                  <c:v>53044</c:v>
                </c:pt>
                <c:pt idx="4">
                  <c:v>58125</c:v>
                </c:pt>
                <c:pt idx="5">
                  <c:v>61924</c:v>
                </c:pt>
                <c:pt idx="6">
                  <c:v>56993</c:v>
                </c:pt>
                <c:pt idx="7">
                  <c:v>67476</c:v>
                </c:pt>
                <c:pt idx="8">
                  <c:v>61913</c:v>
                </c:pt>
                <c:pt idx="9">
                  <c:v>61006</c:v>
                </c:pt>
                <c:pt idx="10">
                  <c:v>61996</c:v>
                </c:pt>
                <c:pt idx="11">
                  <c:v>63338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5A-4C55-B769-A034DEF17158}"/>
            </c:ext>
          </c:extLst>
        </c:ser>
        <c:ser>
          <c:idx val="1"/>
          <c:order val="3"/>
          <c:tx>
            <c:strRef>
              <c:f>'all pages'!$A$32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'all pages'!$B$28:$M$28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'all pages'!$B$32:$M$32</c:f>
              <c:numCache>
                <c:formatCode>0</c:formatCode>
                <c:ptCount val="12"/>
                <c:pt idx="0">
                  <c:v>49945</c:v>
                </c:pt>
                <c:pt idx="1">
                  <c:v>44976</c:v>
                </c:pt>
                <c:pt idx="2">
                  <c:v>52185</c:v>
                </c:pt>
                <c:pt idx="3">
                  <c:v>47107</c:v>
                </c:pt>
                <c:pt idx="4">
                  <c:v>58061</c:v>
                </c:pt>
                <c:pt idx="5">
                  <c:v>62147</c:v>
                </c:pt>
                <c:pt idx="6">
                  <c:v>53056</c:v>
                </c:pt>
                <c:pt idx="7">
                  <c:v>61159</c:v>
                </c:pt>
                <c:pt idx="8">
                  <c:v>52095</c:v>
                </c:pt>
                <c:pt idx="9">
                  <c:v>56616</c:v>
                </c:pt>
                <c:pt idx="10">
                  <c:v>54192</c:v>
                </c:pt>
                <c:pt idx="11">
                  <c:v>48074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5A-4C55-B769-A034DEF17158}"/>
            </c:ext>
          </c:extLst>
        </c:ser>
        <c:ser>
          <c:idx val="0"/>
          <c:order val="4"/>
          <c:tx>
            <c:strRef>
              <c:f>'all pages'!$A$31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'all pages'!$B$28:$M$28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'all pages'!$B$31:$M$31</c:f>
              <c:numCache>
                <c:formatCode>General</c:formatCode>
                <c:ptCount val="12"/>
                <c:pt idx="0">
                  <c:v>47432</c:v>
                </c:pt>
                <c:pt idx="1">
                  <c:v>41211</c:v>
                </c:pt>
                <c:pt idx="2">
                  <c:v>49998</c:v>
                </c:pt>
                <c:pt idx="3">
                  <c:v>45380</c:v>
                </c:pt>
                <c:pt idx="4">
                  <c:v>50321</c:v>
                </c:pt>
                <c:pt idx="5">
                  <c:v>49113</c:v>
                </c:pt>
                <c:pt idx="6">
                  <c:v>48960</c:v>
                </c:pt>
                <c:pt idx="7">
                  <c:v>53284</c:v>
                </c:pt>
                <c:pt idx="8">
                  <c:v>43038</c:v>
                </c:pt>
                <c:pt idx="9">
                  <c:v>46405</c:v>
                </c:pt>
                <c:pt idx="10">
                  <c:v>43041</c:v>
                </c:pt>
                <c:pt idx="11">
                  <c:v>40142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5A-4C55-B769-A034DEF17158}"/>
            </c:ext>
          </c:extLst>
        </c:ser>
        <c:ser>
          <c:idx val="5"/>
          <c:order val="5"/>
          <c:tx>
            <c:strRef>
              <c:f>'all pages'!$A$30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'all pages'!$B$28:$M$28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'all pages'!$B$30:$M$30</c:f>
              <c:numCache>
                <c:formatCode>General</c:formatCode>
                <c:ptCount val="12"/>
                <c:pt idx="0">
                  <c:v>35714</c:v>
                </c:pt>
                <c:pt idx="1">
                  <c:v>38340</c:v>
                </c:pt>
                <c:pt idx="2">
                  <c:v>43193</c:v>
                </c:pt>
                <c:pt idx="3">
                  <c:v>49998</c:v>
                </c:pt>
                <c:pt idx="4">
                  <c:v>56058</c:v>
                </c:pt>
                <c:pt idx="5">
                  <c:v>56259</c:v>
                </c:pt>
                <c:pt idx="6">
                  <c:v>66419</c:v>
                </c:pt>
                <c:pt idx="7">
                  <c:v>70768</c:v>
                </c:pt>
                <c:pt idx="8">
                  <c:v>69646</c:v>
                </c:pt>
                <c:pt idx="9">
                  <c:v>73437</c:v>
                </c:pt>
                <c:pt idx="10">
                  <c:v>63908</c:v>
                </c:pt>
                <c:pt idx="11">
                  <c:v>70546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5A-4C55-B769-A034DEF17158}"/>
            </c:ext>
          </c:extLst>
        </c:ser>
        <c:ser>
          <c:idx val="6"/>
          <c:order val="6"/>
          <c:tx>
            <c:strRef>
              <c:f>'all pages'!$A$29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'all pages'!$B$28:$M$28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'all pages'!$B$29:$M$29</c:f>
              <c:numCache>
                <c:formatCode>General</c:formatCode>
                <c:ptCount val="12"/>
                <c:pt idx="0">
                  <c:v>56880</c:v>
                </c:pt>
                <c:pt idx="1">
                  <c:v>58975</c:v>
                </c:pt>
                <c:pt idx="2">
                  <c:v>72095</c:v>
                </c:pt>
                <c:pt idx="3">
                  <c:v>74580</c:v>
                </c:pt>
                <c:pt idx="4">
                  <c:v>76519</c:v>
                </c:pt>
                <c:pt idx="5">
                  <c:v>85981</c:v>
                </c:pt>
                <c:pt idx="6">
                  <c:v>95503</c:v>
                </c:pt>
                <c:pt idx="7">
                  <c:v>88860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5A-4C55-B769-A034DEF17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5425536"/>
        <c:axId val="255427328"/>
      </c:barChart>
      <c:catAx>
        <c:axId val="2554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5427328"/>
        <c:crosses val="autoZero"/>
        <c:auto val="1"/>
        <c:lblAlgn val="ctr"/>
        <c:lblOffset val="100"/>
        <c:noMultiLvlLbl val="0"/>
      </c:catAx>
      <c:valAx>
        <c:axId val="25542732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554255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Pages Per Document (1)</a:t>
            </a:r>
          </a:p>
        </c:rich>
      </c:tx>
      <c:layout>
        <c:manualLayout>
          <c:xMode val="edge"/>
          <c:yMode val="edge"/>
          <c:x val="0.38579387186629527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34261838440118E-2"/>
          <c:y val="0.11417407840710443"/>
          <c:w val="0.91922005571030641"/>
          <c:h val="0.70786961961848927"/>
        </c:manualLayout>
      </c:layout>
      <c:barChart>
        <c:barDir val="col"/>
        <c:grouping val="clustered"/>
        <c:varyColors val="0"/>
        <c:ser>
          <c:idx val="6"/>
          <c:order val="0"/>
          <c:tx>
            <c:v>2002</c:v>
          </c:tx>
          <c:spPr>
            <a:solidFill>
              <a:srgbClr val="800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pages'!$B$91:$M$91</c:f>
            </c:numRef>
          </c:val>
          <c:extLst>
            <c:ext xmlns:c16="http://schemas.microsoft.com/office/drawing/2014/chart" uri="{C3380CC4-5D6E-409C-BE32-E72D297353CC}">
              <c16:uniqueId val="{00000000-8C58-4DBF-9985-9FC1F22570AD}"/>
            </c:ext>
          </c:extLst>
        </c:ser>
        <c:ser>
          <c:idx val="7"/>
          <c:order val="1"/>
          <c:tx>
            <c:v>2010</c:v>
          </c:tx>
          <c:spPr>
            <a:solidFill>
              <a:srgbClr val="00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pages'!$B$83:$M$83</c:f>
            </c:numRef>
          </c:val>
          <c:extLst>
            <c:ext xmlns:c16="http://schemas.microsoft.com/office/drawing/2014/chart" uri="{C3380CC4-5D6E-409C-BE32-E72D297353CC}">
              <c16:uniqueId val="{00000001-8C58-4DBF-9985-9FC1F22570AD}"/>
            </c:ext>
          </c:extLst>
        </c:ser>
        <c:ser>
          <c:idx val="1"/>
          <c:order val="2"/>
          <c:tx>
            <c:v>2004</c:v>
          </c:tx>
          <c:spPr>
            <a:solidFill>
              <a:srgbClr val="FFFF9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pages'!$B$89:$M$89</c:f>
            </c:numRef>
          </c:val>
          <c:extLst>
            <c:ext xmlns:c16="http://schemas.microsoft.com/office/drawing/2014/chart" uri="{C3380CC4-5D6E-409C-BE32-E72D297353CC}">
              <c16:uniqueId val="{00000002-8C58-4DBF-9985-9FC1F22570AD}"/>
            </c:ext>
          </c:extLst>
        </c:ser>
        <c:ser>
          <c:idx val="8"/>
          <c:order val="3"/>
          <c:tx>
            <c:v>2011</c:v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pages'!$B$82:$M$82</c:f>
            </c:numRef>
          </c:val>
          <c:extLst>
            <c:ext xmlns:c16="http://schemas.microsoft.com/office/drawing/2014/chart" uri="{C3380CC4-5D6E-409C-BE32-E72D297353CC}">
              <c16:uniqueId val="{00000003-8C58-4DBF-9985-9FC1F22570AD}"/>
            </c:ext>
          </c:extLst>
        </c:ser>
        <c:ser>
          <c:idx val="9"/>
          <c:order val="4"/>
          <c:tx>
            <c:strRef>
              <c:f>'avg. pages'!$A$81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pages'!$B$81:$M$81</c:f>
            </c:numRef>
          </c:val>
          <c:extLst>
            <c:ext xmlns:c16="http://schemas.microsoft.com/office/drawing/2014/chart" uri="{C3380CC4-5D6E-409C-BE32-E72D297353CC}">
              <c16:uniqueId val="{00000004-8C58-4DBF-9985-9FC1F22570AD}"/>
            </c:ext>
          </c:extLst>
        </c:ser>
        <c:ser>
          <c:idx val="2"/>
          <c:order val="5"/>
          <c:tx>
            <c:v>2005</c:v>
          </c:tx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pages'!$B$88:$M$88</c:f>
            </c:numRef>
          </c:val>
          <c:extLst>
            <c:ext xmlns:c16="http://schemas.microsoft.com/office/drawing/2014/chart" uri="{C3380CC4-5D6E-409C-BE32-E72D297353CC}">
              <c16:uniqueId val="{00000005-8C58-4DBF-9985-9FC1F22570AD}"/>
            </c:ext>
          </c:extLst>
        </c:ser>
        <c:ser>
          <c:idx val="3"/>
          <c:order val="6"/>
          <c:tx>
            <c:v>2006</c:v>
          </c:tx>
          <c:spPr>
            <a:solidFill>
              <a:srgbClr val="CC99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pages'!$B$87:$M$87</c:f>
            </c:numRef>
          </c:val>
          <c:extLst>
            <c:ext xmlns:c16="http://schemas.microsoft.com/office/drawing/2014/chart" uri="{C3380CC4-5D6E-409C-BE32-E72D297353CC}">
              <c16:uniqueId val="{00000006-8C58-4DBF-9985-9FC1F22570AD}"/>
            </c:ext>
          </c:extLst>
        </c:ser>
        <c:ser>
          <c:idx val="4"/>
          <c:order val="7"/>
          <c:tx>
            <c:v>2007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pages'!$B$86:$M$86</c:f>
            </c:numRef>
          </c:val>
          <c:extLst>
            <c:ext xmlns:c16="http://schemas.microsoft.com/office/drawing/2014/chart" uri="{C3380CC4-5D6E-409C-BE32-E72D297353CC}">
              <c16:uniqueId val="{00000007-8C58-4DBF-9985-9FC1F22570AD}"/>
            </c:ext>
          </c:extLst>
        </c:ser>
        <c:ser>
          <c:idx val="0"/>
          <c:order val="8"/>
          <c:tx>
            <c:v>2008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pages'!$B$85:$M$85</c:f>
            </c:numRef>
          </c:val>
          <c:extLst>
            <c:ext xmlns:c16="http://schemas.microsoft.com/office/drawing/2014/chart" uri="{C3380CC4-5D6E-409C-BE32-E72D297353CC}">
              <c16:uniqueId val="{00000008-8C58-4DBF-9985-9FC1F22570AD}"/>
            </c:ext>
          </c:extLst>
        </c:ser>
        <c:ser>
          <c:idx val="11"/>
          <c:order val="9"/>
          <c:tx>
            <c:strRef>
              <c:f>'avg. pages'!$A$34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pages'!$B$80:$M$80</c:f>
            </c:numRef>
          </c:val>
          <c:extLst>
            <c:ext xmlns:c16="http://schemas.microsoft.com/office/drawing/2014/chart" uri="{C3380CC4-5D6E-409C-BE32-E72D297353CC}">
              <c16:uniqueId val="{00000009-8C58-4DBF-9985-9FC1F22570AD}"/>
            </c:ext>
          </c:extLst>
        </c:ser>
        <c:ser>
          <c:idx val="5"/>
          <c:order val="10"/>
          <c:tx>
            <c:strRef>
              <c:f>'avg. pages'!$A$33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pages'!$B$79:$M$79</c:f>
            </c:numRef>
          </c:val>
          <c:extLst>
            <c:ext xmlns:c16="http://schemas.microsoft.com/office/drawing/2014/chart" uri="{C3380CC4-5D6E-409C-BE32-E72D297353CC}">
              <c16:uniqueId val="{0000000A-8C58-4DBF-9985-9FC1F22570AD}"/>
            </c:ext>
          </c:extLst>
        </c:ser>
        <c:ser>
          <c:idx val="12"/>
          <c:order val="11"/>
          <c:tx>
            <c:v>2016</c:v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pages'!$B$78:$M$78</c:f>
              <c:numCache>
                <c:formatCode>0.00</c:formatCode>
                <c:ptCount val="12"/>
                <c:pt idx="0">
                  <c:v>5.0836702192821264</c:v>
                </c:pt>
                <c:pt idx="1">
                  <c:v>5.3427716103280529</c:v>
                </c:pt>
                <c:pt idx="2">
                  <c:v>5.9325153374233128</c:v>
                </c:pt>
                <c:pt idx="3">
                  <c:v>5.7531453362255967</c:v>
                </c:pt>
                <c:pt idx="4">
                  <c:v>6.0276884786892042</c:v>
                </c:pt>
                <c:pt idx="5">
                  <c:v>5.8041053519542603</c:v>
                </c:pt>
                <c:pt idx="6">
                  <c:v>5.8203635620915035</c:v>
                </c:pt>
                <c:pt idx="7">
                  <c:v>5.9090988703038798</c:v>
                </c:pt>
                <c:pt idx="8">
                  <c:v>5.9326370256803376</c:v>
                </c:pt>
                <c:pt idx="9">
                  <c:v>5.5922632688605738</c:v>
                </c:pt>
                <c:pt idx="10">
                  <c:v>5.955427473583093</c:v>
                </c:pt>
                <c:pt idx="11">
                  <c:v>5.745985666334029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C58-4DBF-9985-9FC1F22570AD}"/>
            </c:ext>
          </c:extLst>
        </c:ser>
        <c:ser>
          <c:idx val="13"/>
          <c:order val="12"/>
          <c:tx>
            <c:v>2017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pages'!$B$77:$M$77</c:f>
              <c:numCache>
                <c:formatCode>0.00</c:formatCode>
                <c:ptCount val="12"/>
                <c:pt idx="0">
                  <c:v>5.0434211854993434</c:v>
                </c:pt>
                <c:pt idx="1">
                  <c:v>5.2395153774464118</c:v>
                </c:pt>
                <c:pt idx="2">
                  <c:v>5.5771080474511061</c:v>
                </c:pt>
                <c:pt idx="3">
                  <c:v>5.7078638071004484</c:v>
                </c:pt>
                <c:pt idx="4">
                  <c:v>5.7668851807707586</c:v>
                </c:pt>
                <c:pt idx="5">
                  <c:v>6.1862432809078243</c:v>
                </c:pt>
                <c:pt idx="6">
                  <c:v>5.8599514026949411</c:v>
                </c:pt>
                <c:pt idx="7">
                  <c:v>5.9045182467657851</c:v>
                </c:pt>
                <c:pt idx="8">
                  <c:v>5.7077900734085683</c:v>
                </c:pt>
                <c:pt idx="9">
                  <c:v>5.6474812967581052</c:v>
                </c:pt>
                <c:pt idx="10">
                  <c:v>5.7823303457106272</c:v>
                </c:pt>
                <c:pt idx="11">
                  <c:v>5.6411640459985914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58-4DBF-9985-9FC1F22570AD}"/>
            </c:ext>
          </c:extLst>
        </c:ser>
        <c:ser>
          <c:idx val="10"/>
          <c:order val="13"/>
          <c:tx>
            <c:v>2018</c:v>
          </c:tx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pages'!$B$76:$M$76</c:f>
              <c:numCache>
                <c:formatCode>0.00</c:formatCode>
                <c:ptCount val="12"/>
                <c:pt idx="0">
                  <c:v>5.4257606954930218</c:v>
                </c:pt>
                <c:pt idx="1">
                  <c:v>5.4246413057785965</c:v>
                </c:pt>
                <c:pt idx="2">
                  <c:v>5.5528653931585961</c:v>
                </c:pt>
                <c:pt idx="3">
                  <c:v>5.4327786424039264</c:v>
                </c:pt>
                <c:pt idx="4">
                  <c:v>5.5376912072191038</c:v>
                </c:pt>
                <c:pt idx="5">
                  <c:v>5.9272266473569877</c:v>
                </c:pt>
                <c:pt idx="6">
                  <c:v>5.5485040797824112</c:v>
                </c:pt>
                <c:pt idx="7">
                  <c:v>5.8252979118836778</c:v>
                </c:pt>
                <c:pt idx="8">
                  <c:v>5.6966247518199866</c:v>
                </c:pt>
                <c:pt idx="9">
                  <c:v>5.4956181904310757</c:v>
                </c:pt>
                <c:pt idx="10">
                  <c:v>5.7695710455764075</c:v>
                </c:pt>
                <c:pt idx="11">
                  <c:v>5.5721821210438645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C58-4DBF-9985-9FC1F22570AD}"/>
            </c:ext>
          </c:extLst>
        </c:ser>
        <c:ser>
          <c:idx val="14"/>
          <c:order val="14"/>
          <c:tx>
            <c:v>2019</c:v>
          </c:tx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pages'!$B$75:$M$75</c:f>
              <c:numCache>
                <c:formatCode>0.00</c:formatCode>
                <c:ptCount val="12"/>
                <c:pt idx="0">
                  <c:v>5.1864652918966021</c:v>
                </c:pt>
                <c:pt idx="1">
                  <c:v>5.8108517732646252</c:v>
                </c:pt>
                <c:pt idx="2">
                  <c:v>5.9265916575192099</c:v>
                </c:pt>
                <c:pt idx="3">
                  <c:v>6.1219542059507779</c:v>
                </c:pt>
                <c:pt idx="4">
                  <c:v>6.2004203074881099</c:v>
                </c:pt>
                <c:pt idx="5">
                  <c:v>6.3098923283983845</c:v>
                </c:pt>
                <c:pt idx="6">
                  <c:v>6.7259746835443037</c:v>
                </c:pt>
                <c:pt idx="7">
                  <c:v>6.5085992826266903</c:v>
                </c:pt>
                <c:pt idx="8">
                  <c:v>6.161181882519462</c:v>
                </c:pt>
                <c:pt idx="9">
                  <c:v>6.2045454545454541</c:v>
                </c:pt>
                <c:pt idx="10">
                  <c:v>6.2300643400272957</c:v>
                </c:pt>
                <c:pt idx="11">
                  <c:v>6.2657429611866062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C58-4DBF-9985-9FC1F22570AD}"/>
            </c:ext>
          </c:extLst>
        </c:ser>
        <c:ser>
          <c:idx val="15"/>
          <c:order val="15"/>
          <c:tx>
            <c:strRef>
              <c:f>'avg. pages'!$A$74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'avg. pages'!$B$27:$M$27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'avg. pages'!$B$74:$M$74</c:f>
              <c:numCache>
                <c:formatCode>0.00</c:formatCode>
                <c:ptCount val="12"/>
                <c:pt idx="0">
                  <c:v>5.4945904173106648</c:v>
                </c:pt>
                <c:pt idx="1">
                  <c:v>6.1877032840205644</c:v>
                </c:pt>
                <c:pt idx="2">
                  <c:v>6.8020567978111144</c:v>
                </c:pt>
                <c:pt idx="3">
                  <c:v>7.0398338682272987</c:v>
                </c:pt>
                <c:pt idx="4">
                  <c:v>7.1559898999345366</c:v>
                </c:pt>
                <c:pt idx="5">
                  <c:v>6.1463292587032665</c:v>
                </c:pt>
                <c:pt idx="6">
                  <c:v>6.2473343363642311</c:v>
                </c:pt>
                <c:pt idx="7">
                  <c:v>6.0996705107084024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C58-4DBF-9985-9FC1F2257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939712"/>
        <c:axId val="255941248"/>
      </c:barChart>
      <c:catAx>
        <c:axId val="25593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94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941248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Avg.  Number  of  Pages </a:t>
                </a:r>
              </a:p>
            </c:rich>
          </c:tx>
          <c:layout>
            <c:manualLayout>
              <c:xMode val="edge"/>
              <c:yMode val="edge"/>
              <c:x val="3.4818941504178272E-3"/>
              <c:y val="0.1183038057742782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939712"/>
        <c:crosses val="autoZero"/>
        <c:crossBetween val="between"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181055609191646"/>
          <c:y val="0.91453228115980012"/>
          <c:w val="0.22867313073469123"/>
          <c:h val="5.79872889968967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" l="0.5" r="0.5" t="0.5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RECORDING / MARRIAGE LICENSE
DOCUMENTS FOR PERIOD 1991 THRU PROJECTED 1995        </a:t>
            </a:r>
          </a:p>
        </c:rich>
      </c:tx>
      <c:layout>
        <c:manualLayout>
          <c:xMode val="edge"/>
          <c:yMode val="edge"/>
          <c:x val="0.20022508997398947"/>
          <c:y val="3.102625298329355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7"/>
      <c:rotY val="20"/>
      <c:depthPercent val="5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73460114430339"/>
          <c:y val="0.17183770883054891"/>
          <c:w val="0.52755934487889355"/>
          <c:h val="0.73269689737470167"/>
        </c:manualLayout>
      </c:layout>
      <c:bar3DChart>
        <c:barDir val="col"/>
        <c:grouping val="standard"/>
        <c:varyColors val="0"/>
        <c:ser>
          <c:idx val="0"/>
          <c:order val="0"/>
          <c:tx>
            <c:v>Recording Documents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stats'!$B$56:$F$56</c:f>
              <c:strCache>
                <c:ptCount val="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 1995</c:v>
                </c:pt>
              </c:strCache>
            </c:strRef>
          </c:cat>
          <c:val>
            <c:numRef>
              <c:f>'old stats'!$B$57:$F$57</c:f>
              <c:numCache>
                <c:formatCode>#,##0_);\(#,##0\)</c:formatCode>
                <c:ptCount val="5"/>
                <c:pt idx="0">
                  <c:v>60436</c:v>
                </c:pt>
                <c:pt idx="1">
                  <c:v>83264</c:v>
                </c:pt>
                <c:pt idx="2">
                  <c:v>103234</c:v>
                </c:pt>
                <c:pt idx="3">
                  <c:v>108535</c:v>
                </c:pt>
                <c:pt idx="4">
                  <c:v>82874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4-48DF-AE32-5F1C42E54C52}"/>
            </c:ext>
          </c:extLst>
        </c:ser>
        <c:ser>
          <c:idx val="1"/>
          <c:order val="1"/>
          <c:tx>
            <c:v>Marriage Documents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stats'!$B$56:$F$56</c:f>
              <c:strCache>
                <c:ptCount val="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 1995</c:v>
                </c:pt>
              </c:strCache>
            </c:strRef>
          </c:cat>
          <c:val>
            <c:numRef>
              <c:f>'old stats'!$B$58:$F$58</c:f>
              <c:numCache>
                <c:formatCode>#,##0_);\(#,##0\)</c:formatCode>
                <c:ptCount val="5"/>
                <c:pt idx="0">
                  <c:v>3771</c:v>
                </c:pt>
                <c:pt idx="1">
                  <c:v>3581</c:v>
                </c:pt>
                <c:pt idx="2">
                  <c:v>3475</c:v>
                </c:pt>
                <c:pt idx="3">
                  <c:v>3255</c:v>
                </c:pt>
                <c:pt idx="4">
                  <c:v>3240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F4-48DF-AE32-5F1C42E54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5771392"/>
        <c:axId val="255772928"/>
        <c:axId val="255755136"/>
      </c:bar3DChart>
      <c:catAx>
        <c:axId val="25577139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77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772928"/>
        <c:scaling>
          <c:orientation val="minMax"/>
        </c:scaling>
        <c:delete val="0"/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RECORDING DOCUMENTS</a:t>
                </a:r>
              </a:p>
            </c:rich>
          </c:tx>
          <c:layout>
            <c:manualLayout>
              <c:xMode val="edge"/>
              <c:yMode val="edge"/>
              <c:x val="1.3498312710911136E-2"/>
              <c:y val="0.463007159904534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771392"/>
        <c:crosses val="autoZero"/>
        <c:crossBetween val="between"/>
      </c:valAx>
      <c:serAx>
        <c:axId val="25575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7729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452240714005232"/>
          <c:y val="0.52028639618138428"/>
          <c:w val="0.16647930819671164"/>
          <c:h val="0.1026252983293556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TOTAL DOCUMENTS FOR RECORDING / MARRIAGE LICENSE
YEAR TO DATE 1994 &amp; 1995</a:t>
            </a:r>
          </a:p>
        </c:rich>
      </c:tx>
      <c:layout>
        <c:manualLayout>
          <c:xMode val="edge"/>
          <c:yMode val="edge"/>
          <c:x val="0.10810822633657279"/>
          <c:y val="3.550295857988165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5"/>
      <c:rotY val="20"/>
      <c:depthPercent val="5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8964061800638067E-2"/>
          <c:y val="0.20414201183431951"/>
          <c:w val="0.59572137585490548"/>
          <c:h val="0.68047337278106512"/>
        </c:manualLayout>
      </c:layout>
      <c:bar3DChart>
        <c:barDir val="col"/>
        <c:grouping val="standard"/>
        <c:varyColors val="0"/>
        <c:ser>
          <c:idx val="0"/>
          <c:order val="0"/>
          <c:tx>
            <c:v>DOCUMENTS 1994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stats'!$Q$70:$AB$70</c:f>
              <c:numCache>
                <c:formatCode>General</c:formatCode>
                <c:ptCount val="12"/>
                <c:pt idx="0">
                  <c:v>10387</c:v>
                </c:pt>
                <c:pt idx="1">
                  <c:v>9291</c:v>
                </c:pt>
                <c:pt idx="2">
                  <c:v>11861</c:v>
                </c:pt>
                <c:pt idx="3">
                  <c:v>9868</c:v>
                </c:pt>
                <c:pt idx="4">
                  <c:v>9655</c:v>
                </c:pt>
                <c:pt idx="5">
                  <c:v>9123</c:v>
                </c:pt>
                <c:pt idx="6">
                  <c:v>12336</c:v>
                </c:pt>
                <c:pt idx="7">
                  <c:v>8891</c:v>
                </c:pt>
                <c:pt idx="8">
                  <c:v>8019</c:v>
                </c:pt>
                <c:pt idx="9">
                  <c:v>7807</c:v>
                </c:pt>
                <c:pt idx="10">
                  <c:v>7060</c:v>
                </c:pt>
                <c:pt idx="11">
                  <c:v>7491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E-44B0-9B75-EC16200EA299}"/>
            </c:ext>
          </c:extLst>
        </c:ser>
        <c:ser>
          <c:idx val="1"/>
          <c:order val="1"/>
          <c:tx>
            <c:v>DOCUMENTS 1995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stats'!$Q$74:$AB$74</c:f>
              <c:numCache>
                <c:formatCode>General</c:formatCode>
                <c:ptCount val="12"/>
                <c:pt idx="0">
                  <c:v>6444</c:v>
                </c:pt>
                <c:pt idx="1">
                  <c:v>5617</c:v>
                </c:pt>
                <c:pt idx="2">
                  <c:v>7047</c:v>
                </c:pt>
                <c:pt idx="3">
                  <c:v>6424</c:v>
                </c:pt>
                <c:pt idx="4">
                  <c:v>7436</c:v>
                </c:pt>
                <c:pt idx="5">
                  <c:v>6768</c:v>
                </c:pt>
                <c:pt idx="6">
                  <c:v>6769</c:v>
                </c:pt>
                <c:pt idx="7">
                  <c:v>8482</c:v>
                </c:pt>
                <c:pt idx="8">
                  <c:v>7303</c:v>
                </c:pt>
                <c:pt idx="9">
                  <c:v>8145</c:v>
                </c:pt>
                <c:pt idx="10">
                  <c:v>7568</c:v>
                </c:pt>
                <c:pt idx="11">
                  <c:v>8113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E-44B0-9B75-EC16200EA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287872"/>
        <c:axId val="256289408"/>
        <c:axId val="255929856"/>
      </c:bar3DChart>
      <c:catAx>
        <c:axId val="25628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28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289408"/>
        <c:scaling>
          <c:orientation val="minMax"/>
        </c:scaling>
        <c:delete val="0"/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DOCUMENTS</a:t>
                </a:r>
              </a:p>
            </c:rich>
          </c:tx>
          <c:layout>
            <c:manualLayout>
              <c:xMode val="edge"/>
              <c:yMode val="edge"/>
              <c:x val="1.5765765765765764E-2"/>
              <c:y val="0.43491124260355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287872"/>
        <c:crosses val="autoZero"/>
        <c:crossBetween val="between"/>
      </c:valAx>
      <c:serAx>
        <c:axId val="255929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289408"/>
        <c:crosses val="autoZero"/>
        <c:tickLblSkip val="4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009103591780754"/>
          <c:y val="0.52071005917159763"/>
          <c:w val="0.99099205504717314"/>
          <c:h val="0.6479289940828402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RECORDINGS
YEAR TO DATE 1994 ,1995 &amp; 1996</a:t>
            </a:r>
          </a:p>
        </c:rich>
      </c:tx>
      <c:layout>
        <c:manualLayout>
          <c:xMode val="edge"/>
          <c:yMode val="edge"/>
          <c:x val="0.27384996067410766"/>
          <c:y val="3.25000000000000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7"/>
      <c:rotY val="20"/>
      <c:depthPercent val="5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560057563545134"/>
          <c:y val="0.18000021972683072"/>
          <c:w val="0.43209923902571618"/>
          <c:h val="0.72000087890732289"/>
        </c:manualLayout>
      </c:layout>
      <c:bar3DChart>
        <c:barDir val="col"/>
        <c:grouping val="standard"/>
        <c:varyColors val="0"/>
        <c:ser>
          <c:idx val="0"/>
          <c:order val="0"/>
          <c:tx>
            <c:v>MONTHLY RECORDING 1994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stats'!$B$112:$M$112</c:f>
              <c:numCache>
                <c:formatCode>#,##0_);\(#,##0\)</c:formatCode>
                <c:ptCount val="12"/>
                <c:pt idx="0">
                  <c:v>10204</c:v>
                </c:pt>
                <c:pt idx="1">
                  <c:v>9047</c:v>
                </c:pt>
                <c:pt idx="2">
                  <c:v>11588</c:v>
                </c:pt>
                <c:pt idx="3">
                  <c:v>9627</c:v>
                </c:pt>
                <c:pt idx="4">
                  <c:v>9355</c:v>
                </c:pt>
                <c:pt idx="5">
                  <c:v>8796</c:v>
                </c:pt>
                <c:pt idx="6">
                  <c:v>11989</c:v>
                </c:pt>
                <c:pt idx="7">
                  <c:v>8484</c:v>
                </c:pt>
                <c:pt idx="8">
                  <c:v>7728</c:v>
                </c:pt>
                <c:pt idx="9">
                  <c:v>7604</c:v>
                </c:pt>
                <c:pt idx="10">
                  <c:v>6837</c:v>
                </c:pt>
                <c:pt idx="11">
                  <c:v>7276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8-4B78-BA39-F415E5C4D5AB}"/>
            </c:ext>
          </c:extLst>
        </c:ser>
        <c:ser>
          <c:idx val="1"/>
          <c:order val="1"/>
          <c:tx>
            <c:v>MONTHLY RECORDING 1995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stats'!$B$115:$M$115</c:f>
              <c:numCache>
                <c:formatCode>#,##0_);\(#,##0\)</c:formatCode>
                <c:ptCount val="12"/>
                <c:pt idx="0">
                  <c:v>6260</c:v>
                </c:pt>
                <c:pt idx="1">
                  <c:v>5394</c:v>
                </c:pt>
                <c:pt idx="2">
                  <c:v>6806</c:v>
                </c:pt>
                <c:pt idx="3">
                  <c:v>6190</c:v>
                </c:pt>
                <c:pt idx="4">
                  <c:v>7134</c:v>
                </c:pt>
                <c:pt idx="5">
                  <c:v>6423</c:v>
                </c:pt>
                <c:pt idx="6">
                  <c:v>6396</c:v>
                </c:pt>
                <c:pt idx="7">
                  <c:v>8053</c:v>
                </c:pt>
                <c:pt idx="8">
                  <c:v>7075</c:v>
                </c:pt>
                <c:pt idx="9">
                  <c:v>7924</c:v>
                </c:pt>
                <c:pt idx="10">
                  <c:v>7340</c:v>
                </c:pt>
                <c:pt idx="11">
                  <c:v>7879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C8-4B78-BA39-F415E5C4D5AB}"/>
            </c:ext>
          </c:extLst>
        </c:ser>
        <c:ser>
          <c:idx val="2"/>
          <c:order val="2"/>
          <c:tx>
            <c:v>MONTHLY RECORDING 1996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stats'!$B$117:$M$117</c:f>
              <c:numCache>
                <c:formatCode>General</c:formatCode>
                <c:ptCount val="12"/>
                <c:pt idx="0">
                  <c:v>7540</c:v>
                </c:pt>
                <c:pt idx="1">
                  <c:v>6913</c:v>
                </c:pt>
                <c:pt idx="2">
                  <c:v>8480</c:v>
                </c:pt>
                <c:pt idx="3">
                  <c:v>8788</c:v>
                </c:pt>
                <c:pt idx="4">
                  <c:v>8320</c:v>
                </c:pt>
                <c:pt idx="5">
                  <c:v>8496</c:v>
                </c:pt>
                <c:pt idx="6">
                  <c:v>8012</c:v>
                </c:pt>
                <c:pt idx="7">
                  <c:v>8082</c:v>
                </c:pt>
                <c:pt idx="8">
                  <c:v>7547</c:v>
                </c:pt>
                <c:pt idx="9">
                  <c:v>8304</c:v>
                </c:pt>
                <c:pt idx="10">
                  <c:v>6527</c:v>
                </c:pt>
                <c:pt idx="11">
                  <c:v>8560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C8-4B78-BA39-F415E5C4D5AB}"/>
            </c:ext>
          </c:extLst>
        </c:ser>
        <c:ser>
          <c:idx val="3"/>
          <c:order val="3"/>
          <c:tx>
            <c:v>MONTHLY RECORDING 1997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'old stats'!$B$110:$M$110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'old stats'!$B$118:$M$118</c:f>
              <c:numCache>
                <c:formatCode>General</c:formatCode>
                <c:ptCount val="12"/>
                <c:pt idx="0">
                  <c:v>5259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C8-4B78-BA39-F415E5C4D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597376"/>
        <c:axId val="256607360"/>
        <c:axId val="256304448"/>
      </c:bar3DChart>
      <c:catAx>
        <c:axId val="2565973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60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607360"/>
        <c:scaling>
          <c:orientation val="minMax"/>
        </c:scaling>
        <c:delete val="0"/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RECORDING DOCUMENTS</a:t>
                </a:r>
              </a:p>
            </c:rich>
          </c:tx>
          <c:layout>
            <c:manualLayout>
              <c:xMode val="edge"/>
              <c:yMode val="edge"/>
              <c:x val="1.3468013468013467E-2"/>
              <c:y val="0.45250052493438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597376"/>
        <c:crosses val="autoZero"/>
        <c:crossBetween val="between"/>
      </c:valAx>
      <c:serAx>
        <c:axId val="25630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607360"/>
        <c:crosses val="autoZero"/>
        <c:tickLblSkip val="5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21669303121621"/>
          <c:y val="0.46750052493438315"/>
          <c:w val="0.99102238482815908"/>
          <c:h val="0.6800007874015747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</xdr:row>
      <xdr:rowOff>43962</xdr:rowOff>
    </xdr:from>
    <xdr:to>
      <xdr:col>13</xdr:col>
      <xdr:colOff>691663</xdr:colOff>
      <xdr:row>24</xdr:row>
      <xdr:rowOff>101112</xdr:rowOff>
    </xdr:to>
    <xdr:graphicFrame macro="">
      <xdr:nvGraphicFramePr>
        <xdr:cNvPr id="6158" name="Chart 1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175846</xdr:colOff>
      <xdr:row>0</xdr:row>
      <xdr:rowOff>58616</xdr:rowOff>
    </xdr:from>
    <xdr:to>
      <xdr:col>13</xdr:col>
      <xdr:colOff>839665</xdr:colOff>
      <xdr:row>24</xdr:row>
      <xdr:rowOff>161192</xdr:rowOff>
    </xdr:to>
    <xdr:graphicFrame macro="">
      <xdr:nvGraphicFramePr>
        <xdr:cNvPr id="2081" name="Chart 12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19050</xdr:rowOff>
    </xdr:from>
    <xdr:to>
      <xdr:col>13</xdr:col>
      <xdr:colOff>676275</xdr:colOff>
      <xdr:row>23</xdr:row>
      <xdr:rowOff>85725</xdr:rowOff>
    </xdr:to>
    <xdr:graphicFrame macro="">
      <xdr:nvGraphicFramePr>
        <xdr:cNvPr id="3111" name="Chart 13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266700</xdr:colOff>
      <xdr:row>1</xdr:row>
      <xdr:rowOff>19050</xdr:rowOff>
    </xdr:from>
    <xdr:to>
      <xdr:col>13</xdr:col>
      <xdr:colOff>676275</xdr:colOff>
      <xdr:row>23</xdr:row>
      <xdr:rowOff>615462</xdr:rowOff>
    </xdr:to>
    <xdr:graphicFrame macro="">
      <xdr:nvGraphicFramePr>
        <xdr:cNvPr id="3112" name="Chart 14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161192</xdr:colOff>
      <xdr:row>1</xdr:row>
      <xdr:rowOff>108437</xdr:rowOff>
    </xdr:from>
    <xdr:to>
      <xdr:col>13</xdr:col>
      <xdr:colOff>893885</xdr:colOff>
      <xdr:row>25</xdr:row>
      <xdr:rowOff>87922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85725</xdr:rowOff>
    </xdr:from>
    <xdr:to>
      <xdr:col>13</xdr:col>
      <xdr:colOff>967154</xdr:colOff>
      <xdr:row>25</xdr:row>
      <xdr:rowOff>43962</xdr:rowOff>
    </xdr:to>
    <xdr:graphicFrame macro="">
      <xdr:nvGraphicFramePr>
        <xdr:cNvPr id="5136" name="Chart 3">
          <a:extLst>
            <a:ext uri="{FF2B5EF4-FFF2-40B4-BE49-F238E27FC236}">
              <a16:creationId xmlns:a16="http://schemas.microsoft.com/office/drawing/2014/main" id="{00000000-0008-0000-0400-00001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20</xdr:col>
      <xdr:colOff>424962</xdr:colOff>
      <xdr:row>34</xdr:row>
      <xdr:rowOff>219808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7936308" y="63890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32</xdr:row>
      <xdr:rowOff>9525</xdr:rowOff>
    </xdr:from>
    <xdr:to>
      <xdr:col>9</xdr:col>
      <xdr:colOff>9525</xdr:colOff>
      <xdr:row>53</xdr:row>
      <xdr:rowOff>0</xdr:rowOff>
    </xdr:to>
    <xdr:graphicFrame macro="">
      <xdr:nvGraphicFramePr>
        <xdr:cNvPr id="1168" name="Chart 1">
          <a:extLst>
            <a:ext uri="{FF2B5EF4-FFF2-40B4-BE49-F238E27FC236}">
              <a16:creationId xmlns:a16="http://schemas.microsoft.com/office/drawing/2014/main" id="{00000000-0008-0000-0500-00009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38100</xdr:colOff>
      <xdr:row>61</xdr:row>
      <xdr:rowOff>0</xdr:rowOff>
    </xdr:from>
    <xdr:to>
      <xdr:col>9</xdr:col>
      <xdr:colOff>9525</xdr:colOff>
      <xdr:row>77</xdr:row>
      <xdr:rowOff>152400</xdr:rowOff>
    </xdr:to>
    <xdr:graphicFrame macro="">
      <xdr:nvGraphicFramePr>
        <xdr:cNvPr id="1169" name="Chart 2">
          <a:extLst>
            <a:ext uri="{FF2B5EF4-FFF2-40B4-BE49-F238E27FC236}">
              <a16:creationId xmlns:a16="http://schemas.microsoft.com/office/drawing/2014/main" id="{00000000-0008-0000-0500-00009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0</xdr:colOff>
      <xdr:row>87</xdr:row>
      <xdr:rowOff>0</xdr:rowOff>
    </xdr:from>
    <xdr:to>
      <xdr:col>9</xdr:col>
      <xdr:colOff>0</xdr:colOff>
      <xdr:row>107</xdr:row>
      <xdr:rowOff>0</xdr:rowOff>
    </xdr:to>
    <xdr:graphicFrame macro="">
      <xdr:nvGraphicFramePr>
        <xdr:cNvPr id="1170" name="Chart 3">
          <a:extLst>
            <a:ext uri="{FF2B5EF4-FFF2-40B4-BE49-F238E27FC236}">
              <a16:creationId xmlns:a16="http://schemas.microsoft.com/office/drawing/2014/main" id="{00000000-0008-0000-0500-00009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142875</xdr:colOff>
      <xdr:row>121</xdr:row>
      <xdr:rowOff>47625</xdr:rowOff>
    </xdr:from>
    <xdr:to>
      <xdr:col>10</xdr:col>
      <xdr:colOff>0</xdr:colOff>
      <xdr:row>145</xdr:row>
      <xdr:rowOff>0</xdr:rowOff>
    </xdr:to>
    <xdr:graphicFrame macro="">
      <xdr:nvGraphicFramePr>
        <xdr:cNvPr id="1171" name="Chart 4">
          <a:extLst>
            <a:ext uri="{FF2B5EF4-FFF2-40B4-BE49-F238E27FC236}">
              <a16:creationId xmlns:a16="http://schemas.microsoft.com/office/drawing/2014/main" id="{00000000-0008-0000-0500-00009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38100</xdr:colOff>
      <xdr:row>165</xdr:row>
      <xdr:rowOff>0</xdr:rowOff>
    </xdr:from>
    <xdr:to>
      <xdr:col>10</xdr:col>
      <xdr:colOff>0</xdr:colOff>
      <xdr:row>188</xdr:row>
      <xdr:rowOff>0</xdr:rowOff>
    </xdr:to>
    <xdr:graphicFrame macro="">
      <xdr:nvGraphicFramePr>
        <xdr:cNvPr id="1172" name="Chart 5">
          <a:extLst>
            <a:ext uri="{FF2B5EF4-FFF2-40B4-BE49-F238E27FC236}">
              <a16:creationId xmlns:a16="http://schemas.microsoft.com/office/drawing/2014/main" id="{00000000-0008-0000-0500-00009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161925</xdr:colOff>
      <xdr:row>206</xdr:row>
      <xdr:rowOff>38100</xdr:rowOff>
    </xdr:from>
    <xdr:to>
      <xdr:col>10</xdr:col>
      <xdr:colOff>0</xdr:colOff>
      <xdr:row>235</xdr:row>
      <xdr:rowOff>0</xdr:rowOff>
    </xdr:to>
    <xdr:graphicFrame macro="">
      <xdr:nvGraphicFramePr>
        <xdr:cNvPr id="1173" name="Chart 6">
          <a:extLst>
            <a:ext uri="{FF2B5EF4-FFF2-40B4-BE49-F238E27FC236}">
              <a16:creationId xmlns:a16="http://schemas.microsoft.com/office/drawing/2014/main" id="{00000000-0008-0000-0500-00009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38100</xdr:colOff>
      <xdr:row>255</xdr:row>
      <xdr:rowOff>9525</xdr:rowOff>
    </xdr:from>
    <xdr:to>
      <xdr:col>10</xdr:col>
      <xdr:colOff>9525</xdr:colOff>
      <xdr:row>283</xdr:row>
      <xdr:rowOff>0</xdr:rowOff>
    </xdr:to>
    <xdr:graphicFrame macro="">
      <xdr:nvGraphicFramePr>
        <xdr:cNvPr id="1174" name="Chart 7">
          <a:extLst>
            <a:ext uri="{FF2B5EF4-FFF2-40B4-BE49-F238E27FC236}">
              <a16:creationId xmlns:a16="http://schemas.microsoft.com/office/drawing/2014/main" id="{00000000-0008-0000-0500-00009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28575</xdr:colOff>
      <xdr:row>300</xdr:row>
      <xdr:rowOff>9525</xdr:rowOff>
    </xdr:from>
    <xdr:to>
      <xdr:col>10</xdr:col>
      <xdr:colOff>0</xdr:colOff>
      <xdr:row>320</xdr:row>
      <xdr:rowOff>0</xdr:rowOff>
    </xdr:to>
    <xdr:graphicFrame macro="">
      <xdr:nvGraphicFramePr>
        <xdr:cNvPr id="1175" name="Chart 8">
          <a:extLst>
            <a:ext uri="{FF2B5EF4-FFF2-40B4-BE49-F238E27FC236}">
              <a16:creationId xmlns:a16="http://schemas.microsoft.com/office/drawing/2014/main" id="{00000000-0008-0000-0500-00009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0</xdr:colOff>
      <xdr:row>87</xdr:row>
      <xdr:rowOff>9525</xdr:rowOff>
    </xdr:from>
    <xdr:to>
      <xdr:col>23</xdr:col>
      <xdr:colOff>0</xdr:colOff>
      <xdr:row>107</xdr:row>
      <xdr:rowOff>0</xdr:rowOff>
    </xdr:to>
    <xdr:graphicFrame macro="">
      <xdr:nvGraphicFramePr>
        <xdr:cNvPr id="1176" name="Chart 9">
          <a:extLst>
            <a:ext uri="{FF2B5EF4-FFF2-40B4-BE49-F238E27FC236}">
              <a16:creationId xmlns:a16="http://schemas.microsoft.com/office/drawing/2014/main" id="{00000000-0008-0000-0500-00009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38100</xdr:colOff>
      <xdr:row>327</xdr:row>
      <xdr:rowOff>28575</xdr:rowOff>
    </xdr:from>
    <xdr:to>
      <xdr:col>10</xdr:col>
      <xdr:colOff>0</xdr:colOff>
      <xdr:row>347</xdr:row>
      <xdr:rowOff>152400</xdr:rowOff>
    </xdr:to>
    <xdr:graphicFrame macro="">
      <xdr:nvGraphicFramePr>
        <xdr:cNvPr id="1177" name="Chart 10">
          <a:extLst>
            <a:ext uri="{FF2B5EF4-FFF2-40B4-BE49-F238E27FC236}">
              <a16:creationId xmlns:a16="http://schemas.microsoft.com/office/drawing/2014/main" id="{00000000-0008-0000-0500-00009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0</xdr:col>
      <xdr:colOff>28575</xdr:colOff>
      <xdr:row>357</xdr:row>
      <xdr:rowOff>9525</xdr:rowOff>
    </xdr:from>
    <xdr:to>
      <xdr:col>11</xdr:col>
      <xdr:colOff>0</xdr:colOff>
      <xdr:row>386</xdr:row>
      <xdr:rowOff>0</xdr:rowOff>
    </xdr:to>
    <xdr:graphicFrame macro="">
      <xdr:nvGraphicFramePr>
        <xdr:cNvPr id="1178" name="Chart 11">
          <a:extLst>
            <a:ext uri="{FF2B5EF4-FFF2-40B4-BE49-F238E27FC236}">
              <a16:creationId xmlns:a16="http://schemas.microsoft.com/office/drawing/2014/main" id="{00000000-0008-0000-0500-00009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6:IV86"/>
  <sheetViews>
    <sheetView tabSelected="1" zoomScale="65" zoomScaleNormal="65" workbookViewId="0">
      <selection activeCell="I67" sqref="I67"/>
    </sheetView>
  </sheetViews>
  <sheetFormatPr defaultColWidth="9.77734375" defaultRowHeight="15" x14ac:dyDescent="0.2"/>
  <cols>
    <col min="1" max="1" width="27.88671875" customWidth="1"/>
    <col min="2" max="14" width="10.5546875" customWidth="1"/>
  </cols>
  <sheetData>
    <row r="26" spans="1:15" s="39" customFormat="1" ht="18.75" thickBot="1" x14ac:dyDescent="0.3">
      <c r="A26" s="49" t="s">
        <v>152</v>
      </c>
      <c r="B26" s="41" t="s">
        <v>48</v>
      </c>
      <c r="C26" s="41" t="s">
        <v>49</v>
      </c>
      <c r="D26" s="41" t="s">
        <v>50</v>
      </c>
      <c r="E26" s="41" t="s">
        <v>51</v>
      </c>
      <c r="F26" s="41" t="s">
        <v>52</v>
      </c>
      <c r="G26" s="41" t="s">
        <v>53</v>
      </c>
      <c r="H26" s="41" t="s">
        <v>54</v>
      </c>
      <c r="I26" s="41" t="s">
        <v>55</v>
      </c>
      <c r="J26" s="41" t="s">
        <v>56</v>
      </c>
      <c r="K26" s="41" t="s">
        <v>57</v>
      </c>
      <c r="L26" s="41" t="s">
        <v>58</v>
      </c>
      <c r="M26" s="41" t="s">
        <v>59</v>
      </c>
      <c r="N26" s="40" t="s">
        <v>60</v>
      </c>
      <c r="O26" s="153" t="s">
        <v>79</v>
      </c>
    </row>
    <row r="27" spans="1:15" s="39" customFormat="1" ht="18" x14ac:dyDescent="0.25">
      <c r="A27" s="30">
        <v>2020</v>
      </c>
      <c r="B27" s="184">
        <v>10630</v>
      </c>
      <c r="C27" s="184">
        <v>9855</v>
      </c>
      <c r="D27" s="184">
        <v>10529</v>
      </c>
      <c r="E27" s="184">
        <v>10787</v>
      </c>
      <c r="F27" s="184">
        <v>10933</v>
      </c>
      <c r="G27" s="184">
        <v>14378</v>
      </c>
      <c r="H27" s="184">
        <v>15820</v>
      </c>
      <c r="I27" s="184">
        <v>15170</v>
      </c>
      <c r="J27" s="184"/>
      <c r="K27" s="184"/>
      <c r="L27" s="184"/>
      <c r="M27" s="184"/>
      <c r="N27" s="184">
        <f>SUM(B27:M27)</f>
        <v>98102</v>
      </c>
      <c r="O27" s="153"/>
    </row>
    <row r="28" spans="1:15" s="29" customFormat="1" ht="18" x14ac:dyDescent="0.25">
      <c r="A28" s="31">
        <v>2019</v>
      </c>
      <c r="B28" s="186">
        <v>7176</v>
      </c>
      <c r="C28" s="186">
        <v>6893</v>
      </c>
      <c r="D28" s="186">
        <v>7627</v>
      </c>
      <c r="E28" s="186">
        <v>8517</v>
      </c>
      <c r="F28" s="186">
        <v>9552</v>
      </c>
      <c r="G28" s="186">
        <v>9472</v>
      </c>
      <c r="H28" s="186">
        <v>10657</v>
      </c>
      <c r="I28" s="186">
        <v>11651</v>
      </c>
      <c r="J28" s="186">
        <v>11943</v>
      </c>
      <c r="K28" s="186">
        <v>12301</v>
      </c>
      <c r="L28" s="186">
        <v>10578</v>
      </c>
      <c r="M28" s="186">
        <v>11617</v>
      </c>
      <c r="N28" s="186">
        <f>SUM(B28:M28)</f>
        <v>117984</v>
      </c>
      <c r="O28" s="56"/>
    </row>
    <row r="29" spans="1:15" s="39" customFormat="1" ht="18" x14ac:dyDescent="0.25">
      <c r="A29" s="31">
        <v>2018</v>
      </c>
      <c r="B29" s="186">
        <v>9074</v>
      </c>
      <c r="C29" s="186">
        <v>7844</v>
      </c>
      <c r="D29" s="186">
        <v>9353</v>
      </c>
      <c r="E29" s="186">
        <v>8691</v>
      </c>
      <c r="F29" s="186">
        <v>9558</v>
      </c>
      <c r="G29" s="186">
        <v>8918</v>
      </c>
      <c r="H29" s="186">
        <v>9599</v>
      </c>
      <c r="I29" s="186">
        <v>10026</v>
      </c>
      <c r="J29" s="186">
        <v>8148</v>
      </c>
      <c r="K29" s="186">
        <v>8947</v>
      </c>
      <c r="L29" s="186">
        <v>7437</v>
      </c>
      <c r="M29" s="186">
        <v>7566</v>
      </c>
      <c r="N29" s="176">
        <f t="shared" ref="N29:N31" si="0">SUM(B29:M29)</f>
        <v>105161</v>
      </c>
      <c r="O29" s="153"/>
    </row>
    <row r="30" spans="1:15" s="29" customFormat="1" ht="18" x14ac:dyDescent="0.25">
      <c r="A30" s="31">
        <v>2017</v>
      </c>
      <c r="B30" s="176">
        <v>10204</v>
      </c>
      <c r="C30" s="176">
        <v>8874</v>
      </c>
      <c r="D30" s="176">
        <v>9813</v>
      </c>
      <c r="E30" s="176">
        <v>8563</v>
      </c>
      <c r="F30" s="176">
        <v>10477</v>
      </c>
      <c r="G30" s="176">
        <v>10733</v>
      </c>
      <c r="H30" s="176">
        <v>9806</v>
      </c>
      <c r="I30" s="176">
        <v>11228</v>
      </c>
      <c r="J30" s="176">
        <v>9746</v>
      </c>
      <c r="K30" s="176">
        <v>10488</v>
      </c>
      <c r="L30" s="176">
        <v>9713</v>
      </c>
      <c r="M30" s="176">
        <v>8875</v>
      </c>
      <c r="N30" s="176">
        <f t="shared" si="0"/>
        <v>118520</v>
      </c>
      <c r="O30" s="56"/>
    </row>
    <row r="31" spans="1:15" s="39" customFormat="1" ht="18" x14ac:dyDescent="0.25">
      <c r="A31" s="31">
        <v>2016</v>
      </c>
      <c r="B31" s="176">
        <v>8465</v>
      </c>
      <c r="C31" s="176">
        <v>8328</v>
      </c>
      <c r="D31" s="176">
        <v>9989</v>
      </c>
      <c r="E31" s="176">
        <v>9584</v>
      </c>
      <c r="F31" s="176">
        <v>10132</v>
      </c>
      <c r="G31" s="176">
        <v>11261</v>
      </c>
      <c r="H31" s="176">
        <v>10469</v>
      </c>
      <c r="I31" s="176">
        <v>12229</v>
      </c>
      <c r="J31" s="176">
        <v>11050</v>
      </c>
      <c r="K31" s="176">
        <v>11302</v>
      </c>
      <c r="L31" s="176">
        <v>10767</v>
      </c>
      <c r="M31" s="176">
        <v>11386</v>
      </c>
      <c r="N31" s="176">
        <f t="shared" si="0"/>
        <v>124962</v>
      </c>
      <c r="O31" s="153"/>
    </row>
    <row r="32" spans="1:15" s="29" customFormat="1" ht="18" hidden="1" x14ac:dyDescent="0.25">
      <c r="A32" s="31">
        <v>2015</v>
      </c>
      <c r="B32" s="177">
        <v>8975</v>
      </c>
      <c r="C32" s="177">
        <v>8995</v>
      </c>
      <c r="D32" s="177">
        <v>9509</v>
      </c>
      <c r="E32" s="177">
        <v>9490</v>
      </c>
      <c r="F32" s="177">
        <v>9559</v>
      </c>
      <c r="G32" s="177">
        <v>11441</v>
      </c>
      <c r="H32" s="177">
        <v>11447</v>
      </c>
      <c r="I32" s="177">
        <v>10877</v>
      </c>
      <c r="J32" s="177">
        <v>9901</v>
      </c>
      <c r="K32" s="177">
        <v>9816</v>
      </c>
      <c r="L32" s="177">
        <v>8694</v>
      </c>
      <c r="M32" s="177">
        <v>9264</v>
      </c>
      <c r="N32" s="177">
        <f t="shared" ref="N32" si="1">SUM(B32:M32)</f>
        <v>117968</v>
      </c>
      <c r="O32" s="56"/>
    </row>
    <row r="33" spans="1:41" s="39" customFormat="1" ht="18" hidden="1" x14ac:dyDescent="0.25">
      <c r="A33" s="31">
        <v>2014</v>
      </c>
      <c r="B33" s="177">
        <v>6798</v>
      </c>
      <c r="C33" s="177">
        <v>5871</v>
      </c>
      <c r="D33" s="177">
        <v>6430</v>
      </c>
      <c r="E33" s="177">
        <v>7275</v>
      </c>
      <c r="F33" s="177">
        <v>7769</v>
      </c>
      <c r="G33" s="177">
        <v>8164</v>
      </c>
      <c r="H33" s="177">
        <v>8768</v>
      </c>
      <c r="I33" s="177">
        <v>8505</v>
      </c>
      <c r="J33" s="177">
        <v>8320</v>
      </c>
      <c r="K33" s="177">
        <v>8994</v>
      </c>
      <c r="L33" s="177">
        <v>7810</v>
      </c>
      <c r="M33" s="177">
        <v>9817</v>
      </c>
      <c r="N33" s="177">
        <f t="shared" ref="N33:N38" si="2">SUM(B33:M33)</f>
        <v>94521</v>
      </c>
      <c r="O33" s="153"/>
    </row>
    <row r="34" spans="1:41" s="39" customFormat="1" ht="18" hidden="1" x14ac:dyDescent="0.25">
      <c r="A34" s="31">
        <v>2013</v>
      </c>
      <c r="B34" s="177">
        <v>9592</v>
      </c>
      <c r="C34" s="177">
        <v>9114</v>
      </c>
      <c r="D34" s="177">
        <v>10712</v>
      </c>
      <c r="E34" s="177">
        <v>11367</v>
      </c>
      <c r="F34" s="177">
        <v>10832</v>
      </c>
      <c r="G34" s="177">
        <v>10179</v>
      </c>
      <c r="H34" s="177">
        <v>11527</v>
      </c>
      <c r="I34" s="177">
        <v>10420</v>
      </c>
      <c r="J34" s="177">
        <v>8486</v>
      </c>
      <c r="K34" s="177">
        <v>7970</v>
      </c>
      <c r="L34" s="177">
        <v>6578</v>
      </c>
      <c r="M34" s="177">
        <v>7063</v>
      </c>
      <c r="N34" s="177">
        <f t="shared" si="2"/>
        <v>113840</v>
      </c>
      <c r="O34" s="56"/>
    </row>
    <row r="35" spans="1:41" s="31" customFormat="1" ht="18" hidden="1" x14ac:dyDescent="0.25">
      <c r="A35" s="31">
        <v>2012</v>
      </c>
      <c r="B35" s="177">
        <v>7444</v>
      </c>
      <c r="C35" s="177">
        <v>8227</v>
      </c>
      <c r="D35" s="177">
        <v>9276</v>
      </c>
      <c r="E35" s="177">
        <v>8790</v>
      </c>
      <c r="F35" s="177">
        <v>9136</v>
      </c>
      <c r="G35" s="177">
        <v>9292</v>
      </c>
      <c r="H35" s="177">
        <v>9992</v>
      </c>
      <c r="I35" s="177">
        <v>10554</v>
      </c>
      <c r="J35" s="177">
        <v>8633</v>
      </c>
      <c r="K35" s="177">
        <v>11617</v>
      </c>
      <c r="L35" s="177">
        <v>10138</v>
      </c>
      <c r="M35" s="177">
        <v>11286</v>
      </c>
      <c r="N35" s="177">
        <f t="shared" si="2"/>
        <v>114385</v>
      </c>
      <c r="O35" s="47"/>
    </row>
    <row r="36" spans="1:41" s="39" customFormat="1" ht="18" hidden="1" x14ac:dyDescent="0.25">
      <c r="A36" s="31">
        <v>2011</v>
      </c>
      <c r="B36" s="160">
        <v>9160</v>
      </c>
      <c r="C36" s="160">
        <v>7620</v>
      </c>
      <c r="D36" s="160">
        <v>8070</v>
      </c>
      <c r="E36" s="160">
        <v>6993</v>
      </c>
      <c r="F36" s="160">
        <v>7393</v>
      </c>
      <c r="G36" s="160">
        <v>7786</v>
      </c>
      <c r="H36" s="160">
        <v>7619</v>
      </c>
      <c r="I36" s="160">
        <v>8294</v>
      </c>
      <c r="J36" s="160">
        <v>7755</v>
      </c>
      <c r="K36" s="160">
        <v>8267</v>
      </c>
      <c r="L36" s="160">
        <v>8091</v>
      </c>
      <c r="M36" s="160">
        <v>8571</v>
      </c>
      <c r="N36" s="171">
        <f t="shared" si="2"/>
        <v>95619</v>
      </c>
      <c r="O36" s="153"/>
    </row>
    <row r="37" spans="1:41" s="29" customFormat="1" ht="18" hidden="1" x14ac:dyDescent="0.25">
      <c r="A37" s="80">
        <v>2010</v>
      </c>
      <c r="B37" s="160">
        <v>7709</v>
      </c>
      <c r="C37" s="160">
        <v>6524</v>
      </c>
      <c r="D37" s="160">
        <v>8927</v>
      </c>
      <c r="E37" s="160">
        <v>8420</v>
      </c>
      <c r="F37" s="160">
        <v>7716</v>
      </c>
      <c r="G37" s="160">
        <v>9271</v>
      </c>
      <c r="H37" s="160">
        <v>8288</v>
      </c>
      <c r="I37" s="160">
        <v>9631</v>
      </c>
      <c r="J37" s="160">
        <v>9727</v>
      </c>
      <c r="K37" s="160">
        <v>10300</v>
      </c>
      <c r="L37" s="160">
        <v>10518</v>
      </c>
      <c r="M37" s="160">
        <v>10022</v>
      </c>
      <c r="N37" s="171">
        <f t="shared" si="2"/>
        <v>107053</v>
      </c>
      <c r="O37" s="56"/>
    </row>
    <row r="38" spans="1:41" s="29" customFormat="1" ht="18" hidden="1" x14ac:dyDescent="0.25">
      <c r="A38" s="80">
        <v>2009</v>
      </c>
      <c r="B38" s="44">
        <v>8103</v>
      </c>
      <c r="C38" s="44">
        <v>9493</v>
      </c>
      <c r="D38" s="44">
        <v>11055</v>
      </c>
      <c r="E38" s="44">
        <v>11716</v>
      </c>
      <c r="F38" s="44">
        <v>11713</v>
      </c>
      <c r="G38" s="44">
        <v>13167</v>
      </c>
      <c r="H38" s="44">
        <v>12272</v>
      </c>
      <c r="I38" s="44">
        <v>9719</v>
      </c>
      <c r="J38" s="44">
        <v>9064</v>
      </c>
      <c r="K38" s="44">
        <v>9093</v>
      </c>
      <c r="L38" s="44">
        <v>8182</v>
      </c>
      <c r="M38" s="44">
        <v>9603</v>
      </c>
      <c r="N38" s="171">
        <f t="shared" si="2"/>
        <v>123180</v>
      </c>
      <c r="O38" s="56"/>
    </row>
    <row r="39" spans="1:41" s="29" customFormat="1" ht="18" hidden="1" x14ac:dyDescent="0.25">
      <c r="A39" s="80">
        <v>2008</v>
      </c>
      <c r="B39" s="145">
        <v>9748</v>
      </c>
      <c r="C39" s="145">
        <v>10995</v>
      </c>
      <c r="D39" s="145">
        <v>12281</v>
      </c>
      <c r="E39" s="145">
        <v>12626</v>
      </c>
      <c r="F39" s="145">
        <v>11038</v>
      </c>
      <c r="G39" s="145">
        <v>10557</v>
      </c>
      <c r="H39" s="145">
        <v>10157</v>
      </c>
      <c r="I39" s="145">
        <v>9748</v>
      </c>
      <c r="J39" s="145">
        <v>8838</v>
      </c>
      <c r="K39" s="145">
        <v>8678</v>
      </c>
      <c r="L39" s="145">
        <v>6948</v>
      </c>
      <c r="M39" s="145">
        <v>7253</v>
      </c>
      <c r="N39" s="172">
        <f t="shared" ref="N39:N44" si="3">SUM(B39:M39)</f>
        <v>118867</v>
      </c>
      <c r="O39" s="56"/>
    </row>
    <row r="40" spans="1:41" s="29" customFormat="1" ht="18" hidden="1" x14ac:dyDescent="0.25">
      <c r="A40" s="31">
        <v>2007</v>
      </c>
      <c r="B40" s="145">
        <v>13642</v>
      </c>
      <c r="C40" s="145">
        <v>12460</v>
      </c>
      <c r="D40" s="145">
        <v>14863</v>
      </c>
      <c r="E40" s="145">
        <v>13839</v>
      </c>
      <c r="F40" s="145">
        <v>14371</v>
      </c>
      <c r="G40" s="145">
        <v>15103</v>
      </c>
      <c r="H40" s="145">
        <v>13185</v>
      </c>
      <c r="I40" s="145">
        <v>14522</v>
      </c>
      <c r="J40" s="145">
        <v>10923</v>
      </c>
      <c r="K40" s="145">
        <v>11865</v>
      </c>
      <c r="L40" s="145">
        <v>9926</v>
      </c>
      <c r="M40" s="145">
        <v>10081</v>
      </c>
      <c r="N40" s="172">
        <f t="shared" si="3"/>
        <v>154780</v>
      </c>
      <c r="O40" s="56"/>
    </row>
    <row r="41" spans="1:41" s="29" customFormat="1" ht="20.25" hidden="1" customHeight="1" x14ac:dyDescent="0.25">
      <c r="A41" s="72">
        <v>2006</v>
      </c>
      <c r="B41" s="68">
        <v>15384</v>
      </c>
      <c r="C41" s="68">
        <v>13095</v>
      </c>
      <c r="D41" s="68">
        <v>16850</v>
      </c>
      <c r="E41" s="68">
        <v>15837</v>
      </c>
      <c r="F41" s="68">
        <v>16873</v>
      </c>
      <c r="G41" s="68">
        <v>15814</v>
      </c>
      <c r="H41" s="68">
        <v>14506</v>
      </c>
      <c r="I41" s="68">
        <v>15247</v>
      </c>
      <c r="J41" s="68">
        <v>13350</v>
      </c>
      <c r="K41" s="68">
        <v>13762</v>
      </c>
      <c r="L41" s="68">
        <v>13247</v>
      </c>
      <c r="M41" s="68">
        <v>15442</v>
      </c>
      <c r="N41" s="172">
        <f t="shared" si="3"/>
        <v>179407</v>
      </c>
      <c r="O41" s="56"/>
    </row>
    <row r="42" spans="1:41" s="29" customFormat="1" ht="20.25" hidden="1" customHeight="1" x14ac:dyDescent="0.25">
      <c r="A42" s="72">
        <v>2005</v>
      </c>
      <c r="B42" s="68">
        <v>14886</v>
      </c>
      <c r="C42" s="68">
        <v>14075</v>
      </c>
      <c r="D42" s="68">
        <v>18008</v>
      </c>
      <c r="E42" s="68">
        <v>16904</v>
      </c>
      <c r="F42" s="68">
        <v>17399</v>
      </c>
      <c r="G42" s="68">
        <v>18828</v>
      </c>
      <c r="H42" s="68">
        <v>18328</v>
      </c>
      <c r="I42" s="68">
        <v>20809</v>
      </c>
      <c r="J42" s="68">
        <v>19748</v>
      </c>
      <c r="K42" s="68">
        <v>19591</v>
      </c>
      <c r="L42" s="68">
        <v>19453</v>
      </c>
      <c r="M42" s="68">
        <v>16709</v>
      </c>
      <c r="N42" s="172">
        <f t="shared" si="3"/>
        <v>214738</v>
      </c>
      <c r="O42" s="56"/>
    </row>
    <row r="43" spans="1:41" s="29" customFormat="1" ht="20.25" hidden="1" customHeight="1" x14ac:dyDescent="0.25">
      <c r="A43" s="72">
        <v>2004</v>
      </c>
      <c r="B43" s="68">
        <v>10760</v>
      </c>
      <c r="C43" s="68">
        <v>12543</v>
      </c>
      <c r="D43" s="68">
        <v>17205</v>
      </c>
      <c r="E43" s="68">
        <v>16251</v>
      </c>
      <c r="F43" s="68">
        <v>16226</v>
      </c>
      <c r="G43" s="68">
        <v>18097</v>
      </c>
      <c r="H43" s="68">
        <v>16174</v>
      </c>
      <c r="I43" s="68">
        <v>16640</v>
      </c>
      <c r="J43" s="68">
        <v>15032</v>
      </c>
      <c r="K43" s="68">
        <v>14248</v>
      </c>
      <c r="L43" s="68">
        <v>15489</v>
      </c>
      <c r="M43" s="68">
        <v>16135</v>
      </c>
      <c r="N43" s="172">
        <f t="shared" si="3"/>
        <v>184800</v>
      </c>
      <c r="O43" s="56"/>
    </row>
    <row r="44" spans="1:41" s="29" customFormat="1" ht="18" hidden="1" x14ac:dyDescent="0.25">
      <c r="A44" s="72">
        <v>2003</v>
      </c>
      <c r="B44" s="68">
        <v>16913</v>
      </c>
      <c r="C44" s="68">
        <v>17833</v>
      </c>
      <c r="D44" s="68">
        <v>19423</v>
      </c>
      <c r="E44" s="68">
        <v>20869</v>
      </c>
      <c r="F44" s="68">
        <v>20044</v>
      </c>
      <c r="G44" s="68">
        <v>22224</v>
      </c>
      <c r="H44" s="68">
        <v>24356</v>
      </c>
      <c r="I44" s="68">
        <v>23962</v>
      </c>
      <c r="J44" s="68">
        <v>22773</v>
      </c>
      <c r="K44" s="68">
        <v>22747</v>
      </c>
      <c r="L44" s="68">
        <v>15557</v>
      </c>
      <c r="M44" s="68">
        <v>15838</v>
      </c>
      <c r="N44" s="172">
        <f t="shared" si="3"/>
        <v>242539</v>
      </c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</row>
    <row r="45" spans="1:41" s="29" customFormat="1" ht="18" x14ac:dyDescent="0.25">
      <c r="A45" s="48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6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1:41" s="29" customFormat="1" ht="18" x14ac:dyDescent="0.25">
      <c r="A46" s="64" t="s">
        <v>153</v>
      </c>
      <c r="B46" s="79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6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</row>
    <row r="47" spans="1:41" s="29" customFormat="1" ht="18" x14ac:dyDescent="0.25">
      <c r="A47" s="170">
        <v>2020</v>
      </c>
      <c r="B47" s="50">
        <f t="shared" ref="B47:B56" si="4">B27</f>
        <v>10630</v>
      </c>
      <c r="C47" s="50">
        <f t="shared" ref="C47:M48" si="5">B47+C27</f>
        <v>20485</v>
      </c>
      <c r="D47" s="50">
        <f t="shared" si="5"/>
        <v>31014</v>
      </c>
      <c r="E47" s="50">
        <f t="shared" si="5"/>
        <v>41801</v>
      </c>
      <c r="F47" s="50">
        <f t="shared" si="5"/>
        <v>52734</v>
      </c>
      <c r="G47" s="50">
        <f t="shared" si="5"/>
        <v>67112</v>
      </c>
      <c r="H47" s="50">
        <f t="shared" si="5"/>
        <v>82932</v>
      </c>
      <c r="I47" s="50">
        <f t="shared" si="5"/>
        <v>98102</v>
      </c>
      <c r="J47" s="50" t="s">
        <v>79</v>
      </c>
      <c r="K47" s="50" t="s">
        <v>79</v>
      </c>
      <c r="L47" s="50" t="s">
        <v>79</v>
      </c>
      <c r="M47" s="50" t="s">
        <v>79</v>
      </c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</row>
    <row r="48" spans="1:41" s="29" customFormat="1" ht="18" x14ac:dyDescent="0.25">
      <c r="A48" s="80">
        <v>2019</v>
      </c>
      <c r="B48" s="44">
        <f t="shared" si="4"/>
        <v>7176</v>
      </c>
      <c r="C48" s="44">
        <f t="shared" si="5"/>
        <v>14069</v>
      </c>
      <c r="D48" s="44">
        <f t="shared" si="5"/>
        <v>21696</v>
      </c>
      <c r="E48" s="44">
        <f t="shared" si="5"/>
        <v>30213</v>
      </c>
      <c r="F48" s="44">
        <f t="shared" si="5"/>
        <v>39765</v>
      </c>
      <c r="G48" s="44">
        <f t="shared" si="5"/>
        <v>49237</v>
      </c>
      <c r="H48" s="44">
        <f t="shared" si="5"/>
        <v>59894</v>
      </c>
      <c r="I48" s="44">
        <f t="shared" si="5"/>
        <v>71545</v>
      </c>
      <c r="J48" s="44">
        <f t="shared" si="5"/>
        <v>83488</v>
      </c>
      <c r="K48" s="44">
        <f t="shared" si="5"/>
        <v>95789</v>
      </c>
      <c r="L48" s="44">
        <f t="shared" si="5"/>
        <v>106367</v>
      </c>
      <c r="M48" s="44">
        <f t="shared" si="5"/>
        <v>117984</v>
      </c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spans="1:41" s="29" customFormat="1" ht="18" x14ac:dyDescent="0.25">
      <c r="A49" s="80">
        <v>2018</v>
      </c>
      <c r="B49" s="44">
        <f t="shared" si="4"/>
        <v>9074</v>
      </c>
      <c r="C49" s="44">
        <f t="shared" ref="C49:M49" si="6">B49+C29</f>
        <v>16918</v>
      </c>
      <c r="D49" s="44">
        <f t="shared" si="6"/>
        <v>26271</v>
      </c>
      <c r="E49" s="44">
        <f t="shared" si="6"/>
        <v>34962</v>
      </c>
      <c r="F49" s="44">
        <f t="shared" si="6"/>
        <v>44520</v>
      </c>
      <c r="G49" s="44">
        <f t="shared" si="6"/>
        <v>53438</v>
      </c>
      <c r="H49" s="44">
        <f t="shared" si="6"/>
        <v>63037</v>
      </c>
      <c r="I49" s="44">
        <f t="shared" si="6"/>
        <v>73063</v>
      </c>
      <c r="J49" s="44">
        <f t="shared" si="6"/>
        <v>81211</v>
      </c>
      <c r="K49" s="44">
        <f t="shared" si="6"/>
        <v>90158</v>
      </c>
      <c r="L49" s="44">
        <f t="shared" si="6"/>
        <v>97595</v>
      </c>
      <c r="M49" s="44">
        <f t="shared" si="6"/>
        <v>105161</v>
      </c>
      <c r="N49" s="6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</row>
    <row r="50" spans="1:41" s="29" customFormat="1" ht="18" x14ac:dyDescent="0.25">
      <c r="A50" s="80">
        <v>2017</v>
      </c>
      <c r="B50" s="44">
        <f t="shared" si="4"/>
        <v>10204</v>
      </c>
      <c r="C50" s="44">
        <f t="shared" ref="C50:M50" si="7">B50+C30</f>
        <v>19078</v>
      </c>
      <c r="D50" s="44">
        <f t="shared" si="7"/>
        <v>28891</v>
      </c>
      <c r="E50" s="44">
        <f t="shared" si="7"/>
        <v>37454</v>
      </c>
      <c r="F50" s="44">
        <f t="shared" si="7"/>
        <v>47931</v>
      </c>
      <c r="G50" s="44">
        <f t="shared" si="7"/>
        <v>58664</v>
      </c>
      <c r="H50" s="44">
        <f t="shared" si="7"/>
        <v>68470</v>
      </c>
      <c r="I50" s="44">
        <f t="shared" si="7"/>
        <v>79698</v>
      </c>
      <c r="J50" s="44">
        <f t="shared" si="7"/>
        <v>89444</v>
      </c>
      <c r="K50" s="44">
        <f t="shared" si="7"/>
        <v>99932</v>
      </c>
      <c r="L50" s="44">
        <f t="shared" si="7"/>
        <v>109645</v>
      </c>
      <c r="M50" s="44">
        <f t="shared" si="7"/>
        <v>118520</v>
      </c>
      <c r="N50" s="6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</row>
    <row r="51" spans="1:41" s="39" customFormat="1" ht="18" x14ac:dyDescent="0.25">
      <c r="A51" s="80">
        <v>2016</v>
      </c>
      <c r="B51" s="44">
        <f t="shared" si="4"/>
        <v>8465</v>
      </c>
      <c r="C51" s="44">
        <f t="shared" ref="C51:M51" si="8">B51+C31</f>
        <v>16793</v>
      </c>
      <c r="D51" s="44">
        <f t="shared" si="8"/>
        <v>26782</v>
      </c>
      <c r="E51" s="44">
        <f t="shared" si="8"/>
        <v>36366</v>
      </c>
      <c r="F51" s="44">
        <f t="shared" si="8"/>
        <v>46498</v>
      </c>
      <c r="G51" s="44">
        <f t="shared" si="8"/>
        <v>57759</v>
      </c>
      <c r="H51" s="44">
        <f t="shared" si="8"/>
        <v>68228</v>
      </c>
      <c r="I51" s="44">
        <f t="shared" si="8"/>
        <v>80457</v>
      </c>
      <c r="J51" s="44">
        <f t="shared" si="8"/>
        <v>91507</v>
      </c>
      <c r="K51" s="44">
        <f t="shared" si="8"/>
        <v>102809</v>
      </c>
      <c r="L51" s="44">
        <f t="shared" si="8"/>
        <v>113576</v>
      </c>
      <c r="M51" s="44">
        <f t="shared" si="8"/>
        <v>124962</v>
      </c>
      <c r="N51" s="71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</row>
    <row r="52" spans="1:41" s="29" customFormat="1" ht="18" hidden="1" x14ac:dyDescent="0.25">
      <c r="A52" s="80">
        <v>2015</v>
      </c>
      <c r="B52" s="44">
        <f t="shared" si="4"/>
        <v>8975</v>
      </c>
      <c r="C52" s="44">
        <f t="shared" ref="C52:M52" si="9">B52+C32</f>
        <v>17970</v>
      </c>
      <c r="D52" s="44">
        <f t="shared" si="9"/>
        <v>27479</v>
      </c>
      <c r="E52" s="44">
        <f t="shared" si="9"/>
        <v>36969</v>
      </c>
      <c r="F52" s="44">
        <f t="shared" si="9"/>
        <v>46528</v>
      </c>
      <c r="G52" s="44">
        <f t="shared" si="9"/>
        <v>57969</v>
      </c>
      <c r="H52" s="44">
        <f t="shared" si="9"/>
        <v>69416</v>
      </c>
      <c r="I52" s="44">
        <f t="shared" si="9"/>
        <v>80293</v>
      </c>
      <c r="J52" s="44">
        <f t="shared" si="9"/>
        <v>90194</v>
      </c>
      <c r="K52" s="44">
        <f t="shared" si="9"/>
        <v>100010</v>
      </c>
      <c r="L52" s="44">
        <f t="shared" si="9"/>
        <v>108704</v>
      </c>
      <c r="M52" s="44">
        <f t="shared" si="9"/>
        <v>117968</v>
      </c>
      <c r="N52" s="6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</row>
    <row r="53" spans="1:41" s="29" customFormat="1" ht="18" hidden="1" x14ac:dyDescent="0.25">
      <c r="A53" s="80">
        <v>2014</v>
      </c>
      <c r="B53" s="44">
        <f t="shared" si="4"/>
        <v>6798</v>
      </c>
      <c r="C53" s="44">
        <f t="shared" ref="C53:M53" si="10">B53+C33</f>
        <v>12669</v>
      </c>
      <c r="D53" s="44">
        <f t="shared" si="10"/>
        <v>19099</v>
      </c>
      <c r="E53" s="44">
        <f t="shared" si="10"/>
        <v>26374</v>
      </c>
      <c r="F53" s="44">
        <f t="shared" si="10"/>
        <v>34143</v>
      </c>
      <c r="G53" s="44">
        <f t="shared" si="10"/>
        <v>42307</v>
      </c>
      <c r="H53" s="44">
        <f t="shared" si="10"/>
        <v>51075</v>
      </c>
      <c r="I53" s="44">
        <f t="shared" si="10"/>
        <v>59580</v>
      </c>
      <c r="J53" s="44">
        <f t="shared" si="10"/>
        <v>67900</v>
      </c>
      <c r="K53" s="44">
        <f t="shared" si="10"/>
        <v>76894</v>
      </c>
      <c r="L53" s="44">
        <f t="shared" si="10"/>
        <v>84704</v>
      </c>
      <c r="M53" s="44">
        <f t="shared" si="10"/>
        <v>94521</v>
      </c>
      <c r="N53" s="6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</row>
    <row r="54" spans="1:41" s="29" customFormat="1" ht="18" hidden="1" x14ac:dyDescent="0.25">
      <c r="A54" s="31">
        <v>2013</v>
      </c>
      <c r="B54" s="44">
        <f t="shared" si="4"/>
        <v>9592</v>
      </c>
      <c r="C54" s="44">
        <f t="shared" ref="C54:F55" si="11">B54+C34</f>
        <v>18706</v>
      </c>
      <c r="D54" s="44">
        <f t="shared" si="11"/>
        <v>29418</v>
      </c>
      <c r="E54" s="44">
        <f t="shared" si="11"/>
        <v>40785</v>
      </c>
      <c r="F54" s="44">
        <f t="shared" si="11"/>
        <v>51617</v>
      </c>
      <c r="G54" s="44">
        <f t="shared" ref="G54:M54" si="12">G34+F54</f>
        <v>61796</v>
      </c>
      <c r="H54" s="44">
        <f t="shared" si="12"/>
        <v>73323</v>
      </c>
      <c r="I54" s="44">
        <f t="shared" si="12"/>
        <v>83743</v>
      </c>
      <c r="J54" s="44">
        <f t="shared" si="12"/>
        <v>92229</v>
      </c>
      <c r="K54" s="44">
        <f t="shared" si="12"/>
        <v>100199</v>
      </c>
      <c r="L54" s="44">
        <f t="shared" si="12"/>
        <v>106777</v>
      </c>
      <c r="M54" s="44">
        <f t="shared" si="12"/>
        <v>113840</v>
      </c>
      <c r="N54" s="6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</row>
    <row r="55" spans="1:41" s="39" customFormat="1" ht="18" hidden="1" x14ac:dyDescent="0.25">
      <c r="A55" s="31">
        <v>2012</v>
      </c>
      <c r="B55" s="44">
        <f t="shared" si="4"/>
        <v>7444</v>
      </c>
      <c r="C55" s="44">
        <f t="shared" si="11"/>
        <v>15671</v>
      </c>
      <c r="D55" s="44">
        <f t="shared" si="11"/>
        <v>24947</v>
      </c>
      <c r="E55" s="44">
        <f t="shared" si="11"/>
        <v>33737</v>
      </c>
      <c r="F55" s="44">
        <f t="shared" si="11"/>
        <v>42873</v>
      </c>
      <c r="G55" s="44">
        <f t="shared" ref="G55:M55" si="13">F55+G35</f>
        <v>52165</v>
      </c>
      <c r="H55" s="44">
        <f t="shared" si="13"/>
        <v>62157</v>
      </c>
      <c r="I55" s="44">
        <f t="shared" si="13"/>
        <v>72711</v>
      </c>
      <c r="J55" s="44">
        <f t="shared" si="13"/>
        <v>81344</v>
      </c>
      <c r="K55" s="44">
        <f t="shared" si="13"/>
        <v>92961</v>
      </c>
      <c r="L55" s="44">
        <f t="shared" si="13"/>
        <v>103099</v>
      </c>
      <c r="M55" s="44">
        <f t="shared" si="13"/>
        <v>114385</v>
      </c>
      <c r="N55" s="68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</row>
    <row r="56" spans="1:41" s="29" customFormat="1" ht="18" hidden="1" x14ac:dyDescent="0.25">
      <c r="A56" s="80">
        <v>2011</v>
      </c>
      <c r="B56" s="44">
        <f t="shared" si="4"/>
        <v>9160</v>
      </c>
      <c r="C56" s="44">
        <f t="shared" ref="C56:M56" si="14">C36+B56</f>
        <v>16780</v>
      </c>
      <c r="D56" s="44">
        <f t="shared" si="14"/>
        <v>24850</v>
      </c>
      <c r="E56" s="44">
        <f t="shared" si="14"/>
        <v>31843</v>
      </c>
      <c r="F56" s="44">
        <f t="shared" si="14"/>
        <v>39236</v>
      </c>
      <c r="G56" s="44">
        <f t="shared" si="14"/>
        <v>47022</v>
      </c>
      <c r="H56" s="44">
        <f t="shared" si="14"/>
        <v>54641</v>
      </c>
      <c r="I56" s="44">
        <f t="shared" si="14"/>
        <v>62935</v>
      </c>
      <c r="J56" s="44">
        <f t="shared" si="14"/>
        <v>70690</v>
      </c>
      <c r="K56" s="44">
        <f t="shared" si="14"/>
        <v>78957</v>
      </c>
      <c r="L56" s="44">
        <f t="shared" si="14"/>
        <v>87048</v>
      </c>
      <c r="M56" s="44">
        <f t="shared" si="14"/>
        <v>95619</v>
      </c>
      <c r="N56" s="71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</row>
    <row r="57" spans="1:41" s="29" customFormat="1" ht="18" hidden="1" x14ac:dyDescent="0.25">
      <c r="A57" s="80">
        <v>2010</v>
      </c>
      <c r="B57" s="160">
        <v>7709</v>
      </c>
      <c r="C57" s="44">
        <f t="shared" ref="C57:M57" si="15">B57+C37</f>
        <v>14233</v>
      </c>
      <c r="D57" s="44">
        <f t="shared" si="15"/>
        <v>23160</v>
      </c>
      <c r="E57" s="44">
        <f t="shared" si="15"/>
        <v>31580</v>
      </c>
      <c r="F57" s="44">
        <f t="shared" si="15"/>
        <v>39296</v>
      </c>
      <c r="G57" s="44">
        <f t="shared" si="15"/>
        <v>48567</v>
      </c>
      <c r="H57" s="44">
        <f t="shared" si="15"/>
        <v>56855</v>
      </c>
      <c r="I57" s="44">
        <f t="shared" si="15"/>
        <v>66486</v>
      </c>
      <c r="J57" s="44">
        <f t="shared" si="15"/>
        <v>76213</v>
      </c>
      <c r="K57" s="44">
        <f t="shared" si="15"/>
        <v>86513</v>
      </c>
      <c r="L57" s="44">
        <f t="shared" si="15"/>
        <v>97031</v>
      </c>
      <c r="M57" s="44">
        <f t="shared" si="15"/>
        <v>107053</v>
      </c>
      <c r="N57" s="6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</row>
    <row r="58" spans="1:41" s="29" customFormat="1" ht="18" hidden="1" x14ac:dyDescent="0.25">
      <c r="A58" s="80">
        <v>2009</v>
      </c>
      <c r="B58" s="44">
        <f>B38</f>
        <v>8103</v>
      </c>
      <c r="C58" s="145">
        <f t="shared" ref="C58:M58" si="16">B58+C38</f>
        <v>17596</v>
      </c>
      <c r="D58" s="145">
        <f t="shared" si="16"/>
        <v>28651</v>
      </c>
      <c r="E58" s="145">
        <f t="shared" si="16"/>
        <v>40367</v>
      </c>
      <c r="F58" s="145">
        <f t="shared" si="16"/>
        <v>52080</v>
      </c>
      <c r="G58" s="145">
        <f t="shared" si="16"/>
        <v>65247</v>
      </c>
      <c r="H58" s="145">
        <f t="shared" si="16"/>
        <v>77519</v>
      </c>
      <c r="I58" s="145">
        <f t="shared" si="16"/>
        <v>87238</v>
      </c>
      <c r="J58" s="145">
        <f t="shared" si="16"/>
        <v>96302</v>
      </c>
      <c r="K58" s="145">
        <f t="shared" si="16"/>
        <v>105395</v>
      </c>
      <c r="L58" s="145">
        <f t="shared" si="16"/>
        <v>113577</v>
      </c>
      <c r="M58" s="145">
        <f t="shared" si="16"/>
        <v>123180</v>
      </c>
      <c r="N58" s="6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</row>
    <row r="59" spans="1:41" s="29" customFormat="1" ht="18" hidden="1" x14ac:dyDescent="0.25">
      <c r="A59" s="80">
        <v>2008</v>
      </c>
      <c r="B59" s="44">
        <f>B39</f>
        <v>9748</v>
      </c>
      <c r="C59" s="145">
        <f t="shared" ref="C59:M59" si="17">B59+C39</f>
        <v>20743</v>
      </c>
      <c r="D59" s="145">
        <f t="shared" si="17"/>
        <v>33024</v>
      </c>
      <c r="E59" s="145">
        <f t="shared" si="17"/>
        <v>45650</v>
      </c>
      <c r="F59" s="145">
        <f t="shared" si="17"/>
        <v>56688</v>
      </c>
      <c r="G59" s="145">
        <f t="shared" si="17"/>
        <v>67245</v>
      </c>
      <c r="H59" s="145">
        <f t="shared" si="17"/>
        <v>77402</v>
      </c>
      <c r="I59" s="145">
        <f t="shared" si="17"/>
        <v>87150</v>
      </c>
      <c r="J59" s="145">
        <f t="shared" si="17"/>
        <v>95988</v>
      </c>
      <c r="K59" s="145">
        <f t="shared" si="17"/>
        <v>104666</v>
      </c>
      <c r="L59" s="145">
        <f t="shared" si="17"/>
        <v>111614</v>
      </c>
      <c r="M59" s="145">
        <f t="shared" si="17"/>
        <v>118867</v>
      </c>
      <c r="N59" s="6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</row>
    <row r="60" spans="1:41" s="39" customFormat="1" ht="18" hidden="1" x14ac:dyDescent="0.25">
      <c r="A60" s="31">
        <v>2007</v>
      </c>
      <c r="B60" s="145">
        <v>13642</v>
      </c>
      <c r="C60" s="145">
        <f t="shared" ref="C60:M60" si="18">B60+C40</f>
        <v>26102</v>
      </c>
      <c r="D60" s="145">
        <f t="shared" si="18"/>
        <v>40965</v>
      </c>
      <c r="E60" s="145">
        <f t="shared" si="18"/>
        <v>54804</v>
      </c>
      <c r="F60" s="145">
        <f t="shared" si="18"/>
        <v>69175</v>
      </c>
      <c r="G60" s="145">
        <f t="shared" si="18"/>
        <v>84278</v>
      </c>
      <c r="H60" s="145">
        <f t="shared" si="18"/>
        <v>97463</v>
      </c>
      <c r="I60" s="145">
        <f t="shared" si="18"/>
        <v>111985</v>
      </c>
      <c r="J60" s="145">
        <f t="shared" si="18"/>
        <v>122908</v>
      </c>
      <c r="K60" s="145">
        <f t="shared" si="18"/>
        <v>134773</v>
      </c>
      <c r="L60" s="145">
        <f t="shared" si="18"/>
        <v>144699</v>
      </c>
      <c r="M60" s="145">
        <f t="shared" si="18"/>
        <v>154780</v>
      </c>
      <c r="N60" s="68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</row>
    <row r="61" spans="1:41" s="39" customFormat="1" ht="18" hidden="1" x14ac:dyDescent="0.25">
      <c r="A61" s="80">
        <v>2006</v>
      </c>
      <c r="B61" s="44">
        <f>B41</f>
        <v>15384</v>
      </c>
      <c r="C61" s="44">
        <f t="shared" ref="C61:M61" si="19">C41+B61</f>
        <v>28479</v>
      </c>
      <c r="D61" s="44">
        <f t="shared" si="19"/>
        <v>45329</v>
      </c>
      <c r="E61" s="44">
        <f t="shared" si="19"/>
        <v>61166</v>
      </c>
      <c r="F61" s="44">
        <f t="shared" si="19"/>
        <v>78039</v>
      </c>
      <c r="G61" s="44">
        <f t="shared" si="19"/>
        <v>93853</v>
      </c>
      <c r="H61" s="44">
        <f t="shared" si="19"/>
        <v>108359</v>
      </c>
      <c r="I61" s="44">
        <f t="shared" si="19"/>
        <v>123606</v>
      </c>
      <c r="J61" s="44">
        <f t="shared" si="19"/>
        <v>136956</v>
      </c>
      <c r="K61" s="44">
        <f t="shared" si="19"/>
        <v>150718</v>
      </c>
      <c r="L61" s="44">
        <f t="shared" si="19"/>
        <v>163965</v>
      </c>
      <c r="M61" s="44">
        <f t="shared" si="19"/>
        <v>179407</v>
      </c>
      <c r="N61" s="71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</row>
    <row r="62" spans="1:41" s="39" customFormat="1" ht="18" hidden="1" x14ac:dyDescent="0.25">
      <c r="A62" s="72">
        <v>2005</v>
      </c>
      <c r="B62" s="44">
        <f>B42</f>
        <v>14886</v>
      </c>
      <c r="C62" s="44">
        <f t="shared" ref="C62:M62" si="20">B62+C42</f>
        <v>28961</v>
      </c>
      <c r="D62" s="44">
        <f t="shared" si="20"/>
        <v>46969</v>
      </c>
      <c r="E62" s="44">
        <f t="shared" si="20"/>
        <v>63873</v>
      </c>
      <c r="F62" s="44">
        <f t="shared" si="20"/>
        <v>81272</v>
      </c>
      <c r="G62" s="44">
        <f t="shared" si="20"/>
        <v>100100</v>
      </c>
      <c r="H62" s="44">
        <f t="shared" si="20"/>
        <v>118428</v>
      </c>
      <c r="I62" s="44">
        <f t="shared" si="20"/>
        <v>139237</v>
      </c>
      <c r="J62" s="44">
        <f t="shared" si="20"/>
        <v>158985</v>
      </c>
      <c r="K62" s="44">
        <f t="shared" si="20"/>
        <v>178576</v>
      </c>
      <c r="L62" s="44">
        <f t="shared" si="20"/>
        <v>198029</v>
      </c>
      <c r="M62" s="44">
        <f t="shared" si="20"/>
        <v>214738</v>
      </c>
      <c r="N62" s="71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</row>
    <row r="63" spans="1:41" s="29" customFormat="1" ht="18" hidden="1" x14ac:dyDescent="0.25">
      <c r="A63" s="72">
        <v>2004</v>
      </c>
      <c r="B63" s="44">
        <f>B43</f>
        <v>10760</v>
      </c>
      <c r="C63" s="44">
        <f t="shared" ref="C63:M63" si="21">B63+C43</f>
        <v>23303</v>
      </c>
      <c r="D63" s="44">
        <f t="shared" si="21"/>
        <v>40508</v>
      </c>
      <c r="E63" s="44">
        <f t="shared" si="21"/>
        <v>56759</v>
      </c>
      <c r="F63" s="44">
        <f t="shared" si="21"/>
        <v>72985</v>
      </c>
      <c r="G63" s="44">
        <f t="shared" si="21"/>
        <v>91082</v>
      </c>
      <c r="H63" s="44">
        <f t="shared" si="21"/>
        <v>107256</v>
      </c>
      <c r="I63" s="44">
        <f t="shared" si="21"/>
        <v>123896</v>
      </c>
      <c r="J63" s="44">
        <f t="shared" si="21"/>
        <v>138928</v>
      </c>
      <c r="K63" s="44">
        <f t="shared" si="21"/>
        <v>153176</v>
      </c>
      <c r="L63" s="44">
        <f t="shared" si="21"/>
        <v>168665</v>
      </c>
      <c r="M63" s="44">
        <f t="shared" si="21"/>
        <v>184800</v>
      </c>
      <c r="N63" s="71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1:41" s="29" customFormat="1" ht="18" hidden="1" x14ac:dyDescent="0.25">
      <c r="A64" s="72">
        <v>2003</v>
      </c>
      <c r="B64" s="44">
        <f>B44</f>
        <v>16913</v>
      </c>
      <c r="C64" s="44">
        <f t="shared" ref="C64:M64" si="22">B64+C44</f>
        <v>34746</v>
      </c>
      <c r="D64" s="44">
        <f t="shared" si="22"/>
        <v>54169</v>
      </c>
      <c r="E64" s="44">
        <f t="shared" si="22"/>
        <v>75038</v>
      </c>
      <c r="F64" s="44">
        <f t="shared" si="22"/>
        <v>95082</v>
      </c>
      <c r="G64" s="44">
        <f t="shared" si="22"/>
        <v>117306</v>
      </c>
      <c r="H64" s="44">
        <f t="shared" si="22"/>
        <v>141662</v>
      </c>
      <c r="I64" s="44">
        <f t="shared" si="22"/>
        <v>165624</v>
      </c>
      <c r="J64" s="44">
        <f t="shared" si="22"/>
        <v>188397</v>
      </c>
      <c r="K64" s="44">
        <f t="shared" si="22"/>
        <v>211144</v>
      </c>
      <c r="L64" s="44">
        <f t="shared" si="22"/>
        <v>226701</v>
      </c>
      <c r="M64" s="44">
        <f t="shared" si="22"/>
        <v>242539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1:256" s="29" customFormat="1" ht="18" x14ac:dyDescent="0.25">
      <c r="A65" s="80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</row>
    <row r="66" spans="1:256" s="29" customFormat="1" ht="18" x14ac:dyDescent="0.25">
      <c r="A66" s="67" t="s">
        <v>99</v>
      </c>
      <c r="B66" s="79"/>
      <c r="C66" s="44"/>
      <c r="D66" s="68"/>
      <c r="E66" s="68"/>
      <c r="F66" s="44"/>
      <c r="G66" s="44"/>
      <c r="H66" s="44"/>
      <c r="I66" s="44"/>
      <c r="J66" s="44"/>
      <c r="K66" s="44"/>
      <c r="L66" s="44"/>
      <c r="M66" s="44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1:256" s="29" customFormat="1" ht="18" x14ac:dyDescent="0.25">
      <c r="A67" s="36">
        <v>2020</v>
      </c>
      <c r="B67" s="75">
        <f t="shared" ref="B67:M75" si="23">B47/B48-1</f>
        <v>0.48132664437012274</v>
      </c>
      <c r="C67" s="75">
        <f t="shared" si="23"/>
        <v>0.45603809794583827</v>
      </c>
      <c r="D67" s="75">
        <f t="shared" si="23"/>
        <v>0.42948008849557517</v>
      </c>
      <c r="E67" s="75">
        <f t="shared" si="23"/>
        <v>0.38354350776155965</v>
      </c>
      <c r="F67" s="75">
        <f t="shared" si="23"/>
        <v>0.32614107883817423</v>
      </c>
      <c r="G67" s="75">
        <f t="shared" si="23"/>
        <v>0.36303999025123379</v>
      </c>
      <c r="H67" s="75">
        <f t="shared" si="23"/>
        <v>0.38464620830133245</v>
      </c>
      <c r="I67" s="75">
        <f t="shared" si="23"/>
        <v>0.37119295548256348</v>
      </c>
      <c r="J67" s="75" t="s">
        <v>79</v>
      </c>
      <c r="K67" s="75" t="s">
        <v>79</v>
      </c>
      <c r="L67" s="75" t="s">
        <v>79</v>
      </c>
      <c r="M67" s="75" t="s">
        <v>79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</row>
    <row r="68" spans="1:256" s="29" customFormat="1" ht="18" x14ac:dyDescent="0.25">
      <c r="A68" s="76">
        <v>2019</v>
      </c>
      <c r="B68" s="57">
        <f t="shared" si="23"/>
        <v>-0.20916905444126077</v>
      </c>
      <c r="C68" s="57">
        <f t="shared" si="23"/>
        <v>-0.16840052015604678</v>
      </c>
      <c r="D68" s="57">
        <f t="shared" si="23"/>
        <v>-0.17414639716797986</v>
      </c>
      <c r="E68" s="57">
        <f t="shared" si="23"/>
        <v>-0.13583319032091989</v>
      </c>
      <c r="F68" s="57">
        <f t="shared" si="23"/>
        <v>-0.10680592991913751</v>
      </c>
      <c r="G68" s="57">
        <f t="shared" si="23"/>
        <v>-7.8614469104382634E-2</v>
      </c>
      <c r="H68" s="57">
        <f t="shared" si="23"/>
        <v>-4.9859606262988354E-2</v>
      </c>
      <c r="I68" s="57">
        <f t="shared" si="23"/>
        <v>-2.0776590066107326E-2</v>
      </c>
      <c r="J68" s="57">
        <f t="shared" si="23"/>
        <v>2.8038073659972129E-2</v>
      </c>
      <c r="K68" s="57">
        <f t="shared" si="23"/>
        <v>6.245701989840069E-2</v>
      </c>
      <c r="L68" s="57">
        <f t="shared" si="23"/>
        <v>8.9881653773246528E-2</v>
      </c>
      <c r="M68" s="57">
        <f t="shared" si="23"/>
        <v>0.12193683970293168</v>
      </c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</row>
    <row r="69" spans="1:256" s="29" customFormat="1" ht="18" x14ac:dyDescent="0.25">
      <c r="A69" s="76">
        <v>2018</v>
      </c>
      <c r="B69" s="57">
        <f t="shared" si="23"/>
        <v>-0.11074088592708742</v>
      </c>
      <c r="C69" s="57">
        <f t="shared" si="23"/>
        <v>-0.11321941503302235</v>
      </c>
      <c r="D69" s="57">
        <f t="shared" si="23"/>
        <v>-9.0685680661797829E-2</v>
      </c>
      <c r="E69" s="57">
        <f t="shared" si="23"/>
        <v>-6.6534949538100019E-2</v>
      </c>
      <c r="F69" s="57">
        <f t="shared" si="23"/>
        <v>-7.1164799399136225E-2</v>
      </c>
      <c r="G69" s="57">
        <f t="shared" si="23"/>
        <v>-8.9083594708850411E-2</v>
      </c>
      <c r="H69" s="57">
        <f t="shared" si="23"/>
        <v>-7.934861983350372E-2</v>
      </c>
      <c r="I69" s="57">
        <f t="shared" si="23"/>
        <v>-8.3251775452332533E-2</v>
      </c>
      <c r="J69" s="57">
        <f t="shared" si="23"/>
        <v>-9.2046420106435267E-2</v>
      </c>
      <c r="K69" s="57">
        <f t="shared" si="23"/>
        <v>-9.7806508425729466E-2</v>
      </c>
      <c r="L69" s="57">
        <f t="shared" si="23"/>
        <v>-0.10990013224497241</v>
      </c>
      <c r="M69" s="57">
        <f t="shared" si="23"/>
        <v>-0.11271515356058048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</row>
    <row r="70" spans="1:256" s="29" customFormat="1" ht="18" x14ac:dyDescent="0.25">
      <c r="A70" s="76">
        <v>2017</v>
      </c>
      <c r="B70" s="57">
        <f t="shared" si="23"/>
        <v>0.20543414057885401</v>
      </c>
      <c r="C70" s="57">
        <f t="shared" si="23"/>
        <v>0.13606860001190979</v>
      </c>
      <c r="D70" s="57">
        <f t="shared" si="23"/>
        <v>7.8746919572847407E-2</v>
      </c>
      <c r="E70" s="57">
        <f t="shared" si="23"/>
        <v>2.9918055326403792E-2</v>
      </c>
      <c r="F70" s="57">
        <f t="shared" si="23"/>
        <v>3.0818529829240049E-2</v>
      </c>
      <c r="G70" s="57">
        <f t="shared" si="23"/>
        <v>1.5668553818452446E-2</v>
      </c>
      <c r="H70" s="57">
        <f t="shared" si="23"/>
        <v>3.5469308788180776E-3</v>
      </c>
      <c r="I70" s="57">
        <f t="shared" si="23"/>
        <v>-9.4336105000186743E-3</v>
      </c>
      <c r="J70" s="57">
        <f t="shared" si="23"/>
        <v>-2.254472335449742E-2</v>
      </c>
      <c r="K70" s="57">
        <f>K50/K51-1</f>
        <v>-2.7983931367876358E-2</v>
      </c>
      <c r="L70" s="57">
        <f t="shared" si="23"/>
        <v>-3.4611185461717264E-2</v>
      </c>
      <c r="M70" s="57">
        <f t="shared" si="23"/>
        <v>-5.1551671708199298E-2</v>
      </c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</row>
    <row r="71" spans="1:256" s="39" customFormat="1" ht="18" x14ac:dyDescent="0.25">
      <c r="A71" s="76">
        <v>2016</v>
      </c>
      <c r="B71" s="57">
        <f t="shared" si="23"/>
        <v>-5.6824512534818905E-2</v>
      </c>
      <c r="C71" s="57">
        <f t="shared" ref="C71:M71" si="24">C51/C52-1</f>
        <v>-6.5498052309404531E-2</v>
      </c>
      <c r="D71" s="57">
        <f t="shared" si="24"/>
        <v>-2.5364824047454437E-2</v>
      </c>
      <c r="E71" s="57">
        <f t="shared" si="24"/>
        <v>-1.6310963239470899E-2</v>
      </c>
      <c r="F71" s="57">
        <f t="shared" si="24"/>
        <v>-6.4477303988996759E-4</v>
      </c>
      <c r="G71" s="57">
        <f t="shared" si="24"/>
        <v>-3.6226258862495087E-3</v>
      </c>
      <c r="H71" s="57">
        <f t="shared" si="24"/>
        <v>-1.7114209980408024E-2</v>
      </c>
      <c r="I71" s="57">
        <f t="shared" si="24"/>
        <v>2.0425192731621244E-3</v>
      </c>
      <c r="J71" s="57">
        <f t="shared" si="24"/>
        <v>1.4557509368694044E-2</v>
      </c>
      <c r="K71" s="57">
        <f t="shared" si="24"/>
        <v>2.7987201279872087E-2</v>
      </c>
      <c r="L71" s="57">
        <f t="shared" si="24"/>
        <v>4.4818957904033008E-2</v>
      </c>
      <c r="M71" s="57">
        <f t="shared" si="24"/>
        <v>5.928726434287257E-2</v>
      </c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</row>
    <row r="72" spans="1:256" s="29" customFormat="1" ht="18" hidden="1" x14ac:dyDescent="0.25">
      <c r="A72" s="76">
        <v>2015</v>
      </c>
      <c r="B72" s="57">
        <f t="shared" si="23"/>
        <v>0.32024124742571347</v>
      </c>
      <c r="C72" s="57">
        <f t="shared" ref="C72:M72" si="25">C52/C53-1</f>
        <v>0.41842292209329868</v>
      </c>
      <c r="D72" s="57">
        <f t="shared" si="25"/>
        <v>0.43876642756165252</v>
      </c>
      <c r="E72" s="57">
        <f t="shared" si="25"/>
        <v>0.40172139228027604</v>
      </c>
      <c r="F72" s="57">
        <f t="shared" si="25"/>
        <v>0.36273906803737233</v>
      </c>
      <c r="G72" s="57">
        <f t="shared" si="25"/>
        <v>0.37019878507102844</v>
      </c>
      <c r="H72" s="57">
        <f t="shared" si="25"/>
        <v>0.35909936368086148</v>
      </c>
      <c r="I72" s="57">
        <f t="shared" si="25"/>
        <v>0.34765021819402486</v>
      </c>
      <c r="J72" s="57">
        <f t="shared" si="25"/>
        <v>0.32833578792341678</v>
      </c>
      <c r="K72" s="57">
        <f t="shared" si="25"/>
        <v>0.30062163497802175</v>
      </c>
      <c r="L72" s="57">
        <f t="shared" si="25"/>
        <v>0.28333962976955052</v>
      </c>
      <c r="M72" s="57">
        <f t="shared" si="25"/>
        <v>0.24806127738809369</v>
      </c>
      <c r="N72" s="48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  <c r="IR72" s="160"/>
      <c r="IS72" s="160"/>
      <c r="IT72" s="160"/>
      <c r="IU72" s="160"/>
      <c r="IV72" s="160"/>
    </row>
    <row r="73" spans="1:256" s="29" customFormat="1" ht="18" hidden="1" x14ac:dyDescent="0.25">
      <c r="A73" s="76">
        <v>2014</v>
      </c>
      <c r="B73" s="57">
        <f t="shared" si="23"/>
        <v>-0.29128440366972475</v>
      </c>
      <c r="C73" s="57">
        <f t="shared" ref="C73:M73" si="26">C53/C54-1</f>
        <v>-0.32273067464984495</v>
      </c>
      <c r="D73" s="57">
        <f t="shared" si="26"/>
        <v>-0.3507716364130804</v>
      </c>
      <c r="E73" s="57">
        <f t="shared" si="26"/>
        <v>-0.35334068897879123</v>
      </c>
      <c r="F73" s="57">
        <f t="shared" si="26"/>
        <v>-0.3385318790321018</v>
      </c>
      <c r="G73" s="57">
        <f t="shared" si="26"/>
        <v>-0.31537639976697518</v>
      </c>
      <c r="H73" s="57">
        <f t="shared" si="26"/>
        <v>-0.3034245734626243</v>
      </c>
      <c r="I73" s="57">
        <f t="shared" si="26"/>
        <v>-0.28853754940711462</v>
      </c>
      <c r="J73" s="57">
        <f t="shared" si="26"/>
        <v>-0.26378904682908844</v>
      </c>
      <c r="K73" s="57">
        <f t="shared" si="26"/>
        <v>-0.23258715156837895</v>
      </c>
      <c r="L73" s="57">
        <f t="shared" si="26"/>
        <v>-0.20672054843271492</v>
      </c>
      <c r="M73" s="57">
        <f t="shared" si="26"/>
        <v>-0.16970309205903022</v>
      </c>
      <c r="N73" s="160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</row>
    <row r="74" spans="1:256" s="39" customFormat="1" ht="18" hidden="1" x14ac:dyDescent="0.25">
      <c r="A74" s="31">
        <v>2013</v>
      </c>
      <c r="B74" s="57">
        <f t="shared" si="23"/>
        <v>0.28855454056958618</v>
      </c>
      <c r="C74" s="57">
        <f t="shared" ref="C74:M74" si="27">C54/C55-1</f>
        <v>0.19366983600280774</v>
      </c>
      <c r="D74" s="57">
        <f t="shared" si="27"/>
        <v>0.17921994628612659</v>
      </c>
      <c r="E74" s="57">
        <f t="shared" si="27"/>
        <v>0.20891009870468635</v>
      </c>
      <c r="F74" s="57">
        <f t="shared" si="27"/>
        <v>0.20395120472091999</v>
      </c>
      <c r="G74" s="57">
        <f t="shared" si="27"/>
        <v>0.18462570689159397</v>
      </c>
      <c r="H74" s="57">
        <f t="shared" si="27"/>
        <v>0.17964187460784786</v>
      </c>
      <c r="I74" s="57">
        <f t="shared" si="27"/>
        <v>0.15172394823341717</v>
      </c>
      <c r="J74" s="57">
        <f t="shared" si="27"/>
        <v>0.13381441778127456</v>
      </c>
      <c r="K74" s="57">
        <f t="shared" si="27"/>
        <v>7.7860608212045879E-2</v>
      </c>
      <c r="L74" s="57">
        <f t="shared" si="27"/>
        <v>3.567444883073545E-2</v>
      </c>
      <c r="M74" s="57">
        <f t="shared" si="27"/>
        <v>-4.7646107444158092E-3</v>
      </c>
      <c r="N74" s="48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</row>
    <row r="75" spans="1:256" s="29" customFormat="1" ht="18" hidden="1" x14ac:dyDescent="0.25">
      <c r="A75" s="76">
        <v>2012</v>
      </c>
      <c r="B75" s="57">
        <f t="shared" si="23"/>
        <v>-0.18733624454148468</v>
      </c>
      <c r="C75" s="57">
        <f t="shared" ref="C75:M75" si="28">C55/C56-1</f>
        <v>-6.6090584028605459E-2</v>
      </c>
      <c r="D75" s="57">
        <f t="shared" si="28"/>
        <v>3.9034205231387453E-3</v>
      </c>
      <c r="E75" s="57">
        <f t="shared" si="28"/>
        <v>5.947932041578996E-2</v>
      </c>
      <c r="F75" s="57">
        <f t="shared" si="28"/>
        <v>9.2695483739422935E-2</v>
      </c>
      <c r="G75" s="57">
        <f t="shared" si="28"/>
        <v>0.10937433541746411</v>
      </c>
      <c r="H75" s="57">
        <f t="shared" si="28"/>
        <v>0.13755238740140197</v>
      </c>
      <c r="I75" s="57">
        <f t="shared" si="28"/>
        <v>0.15533486930960505</v>
      </c>
      <c r="J75" s="57">
        <f t="shared" si="28"/>
        <v>0.15071438675908899</v>
      </c>
      <c r="K75" s="57">
        <f t="shared" si="28"/>
        <v>0.17736236179186138</v>
      </c>
      <c r="L75" s="57">
        <f t="shared" si="28"/>
        <v>0.18439251906993848</v>
      </c>
      <c r="M75" s="57">
        <f t="shared" si="28"/>
        <v>0.1962580658655706</v>
      </c>
      <c r="N75" s="142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</row>
    <row r="76" spans="1:256" s="29" customFormat="1" ht="18" hidden="1" x14ac:dyDescent="0.25">
      <c r="A76" s="76">
        <v>2011</v>
      </c>
      <c r="B76" s="57">
        <f t="shared" ref="B76:M76" si="29">B56/B57-1</f>
        <v>0.18822155921650019</v>
      </c>
      <c r="C76" s="57">
        <f t="shared" si="29"/>
        <v>0.17895032670554345</v>
      </c>
      <c r="D76" s="57">
        <f t="shared" si="29"/>
        <v>7.2970639032815088E-2</v>
      </c>
      <c r="E76" s="57">
        <f t="shared" si="29"/>
        <v>8.3280557314755477E-3</v>
      </c>
      <c r="F76" s="57">
        <f t="shared" si="29"/>
        <v>-1.5268729641694234E-3</v>
      </c>
      <c r="G76" s="57">
        <f t="shared" si="29"/>
        <v>-3.1811724010130327E-2</v>
      </c>
      <c r="H76" s="57">
        <f t="shared" si="29"/>
        <v>-3.894116612435139E-2</v>
      </c>
      <c r="I76" s="57">
        <f t="shared" si="29"/>
        <v>-5.3409740396474392E-2</v>
      </c>
      <c r="J76" s="57">
        <f t="shared" si="29"/>
        <v>-7.2467951661789987E-2</v>
      </c>
      <c r="K76" s="57">
        <f t="shared" si="29"/>
        <v>-8.7339474992197741E-2</v>
      </c>
      <c r="L76" s="57">
        <f t="shared" si="29"/>
        <v>-0.10288464511341733</v>
      </c>
      <c r="M76" s="57">
        <f t="shared" si="29"/>
        <v>-0.1068069087274528</v>
      </c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</row>
    <row r="77" spans="1:256" s="24" customFormat="1" ht="18" hidden="1" x14ac:dyDescent="0.25">
      <c r="A77" s="80">
        <v>2010</v>
      </c>
      <c r="B77" s="57">
        <f>B57/B58-1</f>
        <v>-4.8623966432185584E-2</v>
      </c>
      <c r="C77" s="57">
        <f t="shared" ref="C77:M77" si="30">C57/C58-1</f>
        <v>-0.19112298249602178</v>
      </c>
      <c r="D77" s="57">
        <f t="shared" si="30"/>
        <v>-0.19165125126522631</v>
      </c>
      <c r="E77" s="57">
        <f t="shared" si="30"/>
        <v>-0.21767780612876853</v>
      </c>
      <c r="F77" s="57">
        <f t="shared" si="30"/>
        <v>-0.24546850998463898</v>
      </c>
      <c r="G77" s="57">
        <f t="shared" si="30"/>
        <v>-0.25564393765230586</v>
      </c>
      <c r="H77" s="57">
        <f t="shared" si="30"/>
        <v>-0.26656690617784029</v>
      </c>
      <c r="I77" s="57">
        <f t="shared" si="30"/>
        <v>-0.23787798894976964</v>
      </c>
      <c r="J77" s="57">
        <f t="shared" si="30"/>
        <v>-0.20860418267533387</v>
      </c>
      <c r="K77" s="57">
        <f t="shared" si="30"/>
        <v>-0.1791546088524123</v>
      </c>
      <c r="L77" s="57">
        <f t="shared" si="30"/>
        <v>-0.14568090370409503</v>
      </c>
      <c r="M77" s="57">
        <f t="shared" si="30"/>
        <v>-0.13092222763435624</v>
      </c>
      <c r="N77" s="48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</row>
    <row r="78" spans="1:256" ht="18" hidden="1" x14ac:dyDescent="0.25">
      <c r="A78" s="80">
        <v>2009</v>
      </c>
      <c r="B78" s="57">
        <f>B58/B59-1</f>
        <v>-0.16875256462864174</v>
      </c>
      <c r="C78" s="57">
        <f t="shared" ref="C78:J78" si="31">C58/C59-1</f>
        <v>-0.15171383117196158</v>
      </c>
      <c r="D78" s="57">
        <f t="shared" si="31"/>
        <v>-0.13241884689922478</v>
      </c>
      <c r="E78" s="57">
        <f t="shared" si="31"/>
        <v>-0.11572836801752462</v>
      </c>
      <c r="F78" s="57">
        <f t="shared" si="31"/>
        <v>-8.1287044877222714E-2</v>
      </c>
      <c r="G78" s="57">
        <f t="shared" si="31"/>
        <v>-2.9712246263662756E-2</v>
      </c>
      <c r="H78" s="57">
        <f t="shared" si="31"/>
        <v>1.5115888478334227E-3</v>
      </c>
      <c r="I78" s="57">
        <f t="shared" si="31"/>
        <v>1.0097532989099545E-3</v>
      </c>
      <c r="J78" s="57">
        <f t="shared" si="31"/>
        <v>3.2712422386131923E-3</v>
      </c>
      <c r="K78" s="57">
        <f t="shared" ref="I78:M79" si="32">K58/K59-1</f>
        <v>6.9650125160032328E-3</v>
      </c>
      <c r="L78" s="57">
        <f t="shared" si="32"/>
        <v>1.7587399430178952E-2</v>
      </c>
      <c r="M78" s="57">
        <f t="shared" si="32"/>
        <v>3.6284250464805101E-2</v>
      </c>
      <c r="N78" s="15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1:256" ht="18" hidden="1" x14ac:dyDescent="0.25">
      <c r="A79" s="80">
        <v>2008</v>
      </c>
      <c r="B79" s="57">
        <f>B59/B60-1</f>
        <v>-0.28544201729951624</v>
      </c>
      <c r="C79" s="57">
        <f t="shared" ref="C79:H79" si="33">C59/C60-1</f>
        <v>-0.20530993793579033</v>
      </c>
      <c r="D79" s="57">
        <f t="shared" si="33"/>
        <v>-0.19384840717685825</v>
      </c>
      <c r="E79" s="57">
        <f t="shared" si="33"/>
        <v>-0.16703160353258883</v>
      </c>
      <c r="F79" s="57">
        <f t="shared" si="33"/>
        <v>-0.18051319118178533</v>
      </c>
      <c r="G79" s="57">
        <f t="shared" si="33"/>
        <v>-0.20210493841809252</v>
      </c>
      <c r="H79" s="57">
        <f t="shared" si="33"/>
        <v>-0.20583195674255872</v>
      </c>
      <c r="I79" s="57">
        <f t="shared" si="32"/>
        <v>-0.22177077287136671</v>
      </c>
      <c r="J79" s="57">
        <f t="shared" si="32"/>
        <v>-0.21902561265336673</v>
      </c>
      <c r="K79" s="57">
        <f t="shared" si="32"/>
        <v>-0.2233904417056829</v>
      </c>
      <c r="L79" s="57">
        <f t="shared" si="32"/>
        <v>-0.22864705353872516</v>
      </c>
      <c r="M79" s="57">
        <f t="shared" si="32"/>
        <v>-0.23202610156350945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pans="1:256" ht="18" hidden="1" x14ac:dyDescent="0.25">
      <c r="A80" s="80">
        <v>2007</v>
      </c>
      <c r="B80" s="57">
        <f t="shared" ref="B80:M82" si="34">B60/B61-1</f>
        <v>-0.11323452938117529</v>
      </c>
      <c r="C80" s="57">
        <f t="shared" si="34"/>
        <v>-8.3465009305102034E-2</v>
      </c>
      <c r="D80" s="57">
        <f t="shared" si="34"/>
        <v>-9.6273908535374653E-2</v>
      </c>
      <c r="E80" s="57">
        <f t="shared" si="34"/>
        <v>-0.10401203282869564</v>
      </c>
      <c r="F80" s="57">
        <f t="shared" si="34"/>
        <v>-0.1135842335242635</v>
      </c>
      <c r="G80" s="57">
        <f t="shared" si="34"/>
        <v>-0.1020212459910711</v>
      </c>
      <c r="H80" s="57">
        <f t="shared" si="34"/>
        <v>-0.10055463782426932</v>
      </c>
      <c r="I80" s="57">
        <f t="shared" si="34"/>
        <v>-9.4016471692312642E-2</v>
      </c>
      <c r="J80" s="57">
        <f t="shared" si="34"/>
        <v>-0.10257308916732377</v>
      </c>
      <c r="K80" s="57">
        <f t="shared" si="34"/>
        <v>-0.10579360129513393</v>
      </c>
      <c r="L80" s="57">
        <f t="shared" si="34"/>
        <v>-0.11750068612203823</v>
      </c>
      <c r="M80" s="57">
        <f t="shared" si="34"/>
        <v>-0.13726889140334542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pans="1:41" ht="18" hidden="1" x14ac:dyDescent="0.25">
      <c r="A81" s="80">
        <v>2006</v>
      </c>
      <c r="B81" s="57">
        <f t="shared" si="34"/>
        <v>3.3454252317613786E-2</v>
      </c>
      <c r="C81" s="57">
        <f t="shared" si="34"/>
        <v>-1.6643071717136859E-2</v>
      </c>
      <c r="D81" s="57">
        <f t="shared" si="34"/>
        <v>-3.4916647150248004E-2</v>
      </c>
      <c r="E81" s="57">
        <f t="shared" si="34"/>
        <v>-4.2380974746763056E-2</v>
      </c>
      <c r="F81" s="57">
        <f t="shared" si="34"/>
        <v>-3.9779998031302277E-2</v>
      </c>
      <c r="G81" s="57">
        <f t="shared" si="34"/>
        <v>-6.2407592407592416E-2</v>
      </c>
      <c r="H81" s="57">
        <f t="shared" si="34"/>
        <v>-8.5022123146553219E-2</v>
      </c>
      <c r="I81" s="57">
        <f t="shared" si="34"/>
        <v>-0.11226182695691522</v>
      </c>
      <c r="J81" s="57">
        <f t="shared" si="34"/>
        <v>-0.13856024153222002</v>
      </c>
      <c r="K81" s="57">
        <f t="shared" si="34"/>
        <v>-0.15600080637935665</v>
      </c>
      <c r="L81" s="57">
        <f t="shared" si="34"/>
        <v>-0.1720152098935005</v>
      </c>
      <c r="M81" s="57">
        <f t="shared" si="34"/>
        <v>-0.16453073047155142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1:41" ht="18" hidden="1" x14ac:dyDescent="0.25">
      <c r="A82" s="72">
        <v>2005</v>
      </c>
      <c r="B82" s="57">
        <f t="shared" si="34"/>
        <v>0.38345724907063206</v>
      </c>
      <c r="C82" s="57">
        <f t="shared" si="34"/>
        <v>0.24280135604857733</v>
      </c>
      <c r="D82" s="57">
        <f t="shared" si="34"/>
        <v>0.15949935815147631</v>
      </c>
      <c r="E82" s="57">
        <f t="shared" si="34"/>
        <v>0.12533695096812836</v>
      </c>
      <c r="F82" s="57">
        <f t="shared" si="34"/>
        <v>0.11354387887922179</v>
      </c>
      <c r="G82" s="57">
        <f t="shared" si="34"/>
        <v>9.9009683581827268E-2</v>
      </c>
      <c r="H82" s="57">
        <f t="shared" si="34"/>
        <v>0.10416200492280159</v>
      </c>
      <c r="I82" s="57">
        <f t="shared" si="34"/>
        <v>0.12382159230322198</v>
      </c>
      <c r="J82" s="57">
        <f t="shared" si="34"/>
        <v>0.14436974547967285</v>
      </c>
      <c r="K82" s="57">
        <f t="shared" si="34"/>
        <v>0.16582232203478342</v>
      </c>
      <c r="L82" s="57">
        <f t="shared" si="34"/>
        <v>0.17409658198203548</v>
      </c>
      <c r="M82" s="57">
        <f t="shared" si="34"/>
        <v>0.16200216450216454</v>
      </c>
      <c r="N82" s="19"/>
    </row>
    <row r="83" spans="1:41" ht="18" hidden="1" x14ac:dyDescent="0.25">
      <c r="A83" s="72">
        <v>2004</v>
      </c>
      <c r="B83" s="57">
        <f>B63/B64-1</f>
        <v>-0.36380299178146991</v>
      </c>
      <c r="C83" s="57">
        <f t="shared" ref="C83:M83" si="35">C63/C64-1</f>
        <v>-0.32933287284867319</v>
      </c>
      <c r="D83" s="57">
        <f t="shared" si="35"/>
        <v>-0.25219221325850583</v>
      </c>
      <c r="E83" s="57">
        <f t="shared" si="35"/>
        <v>-0.24359657773394816</v>
      </c>
      <c r="F83" s="57">
        <f t="shared" si="35"/>
        <v>-0.23239940262089565</v>
      </c>
      <c r="G83" s="57">
        <f t="shared" si="35"/>
        <v>-0.22355207747259309</v>
      </c>
      <c r="H83" s="57">
        <f t="shared" si="35"/>
        <v>-0.24287388290437806</v>
      </c>
      <c r="I83" s="57">
        <f t="shared" si="35"/>
        <v>-0.25194416268173692</v>
      </c>
      <c r="J83" s="57">
        <f t="shared" si="35"/>
        <v>-0.26257849116493359</v>
      </c>
      <c r="K83" s="57">
        <f t="shared" si="35"/>
        <v>-0.27454249232751105</v>
      </c>
      <c r="L83" s="57">
        <f t="shared" si="35"/>
        <v>-0.2560023996365256</v>
      </c>
      <c r="M83" s="57">
        <f t="shared" si="35"/>
        <v>-0.23806068302417338</v>
      </c>
    </row>
    <row r="84" spans="1:41" ht="18" x14ac:dyDescent="0.25">
      <c r="A84" s="7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7"/>
    </row>
    <row r="85" spans="1:41" x14ac:dyDescent="0.2">
      <c r="K85" s="19"/>
      <c r="L85" s="19"/>
      <c r="M85" s="19"/>
    </row>
    <row r="86" spans="1:41" ht="16.5" x14ac:dyDescent="0.25">
      <c r="A86" s="168" t="s">
        <v>158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21"/>
    </row>
  </sheetData>
  <phoneticPr fontId="12" type="noConversion"/>
  <pageMargins left="0.5" right="0.5" top="0.4" bottom="0.4" header="0.5" footer="0.5"/>
  <pageSetup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26:AO160"/>
  <sheetViews>
    <sheetView zoomScale="65" zoomScaleNormal="65" workbookViewId="0">
      <selection activeCell="I119" sqref="I119"/>
    </sheetView>
  </sheetViews>
  <sheetFormatPr defaultColWidth="9.77734375" defaultRowHeight="15" x14ac:dyDescent="0.2"/>
  <cols>
    <col min="1" max="1" width="27.88671875" customWidth="1"/>
    <col min="2" max="14" width="10.6640625" customWidth="1"/>
  </cols>
  <sheetData>
    <row r="26" spans="1:15" s="29" customFormat="1" ht="15.75" customHeight="1" x14ac:dyDescent="0.25">
      <c r="E26" s="48"/>
      <c r="F26" s="48"/>
    </row>
    <row r="27" spans="1:15" s="39" customFormat="1" ht="18.75" thickBot="1" x14ac:dyDescent="0.3">
      <c r="A27" s="49" t="s">
        <v>96</v>
      </c>
      <c r="B27" s="41" t="s">
        <v>48</v>
      </c>
      <c r="C27" s="41" t="s">
        <v>49</v>
      </c>
      <c r="D27" s="41" t="s">
        <v>50</v>
      </c>
      <c r="E27" s="41" t="s">
        <v>51</v>
      </c>
      <c r="F27" s="41" t="s">
        <v>52</v>
      </c>
      <c r="G27" s="41" t="s">
        <v>53</v>
      </c>
      <c r="H27" s="41" t="s">
        <v>54</v>
      </c>
      <c r="I27" s="41" t="s">
        <v>55</v>
      </c>
      <c r="J27" s="41" t="s">
        <v>56</v>
      </c>
      <c r="K27" s="41" t="s">
        <v>57</v>
      </c>
      <c r="L27" s="41" t="s">
        <v>58</v>
      </c>
      <c r="M27" s="41" t="s">
        <v>59</v>
      </c>
      <c r="N27" s="40" t="s">
        <v>60</v>
      </c>
      <c r="O27" s="153" t="s">
        <v>79</v>
      </c>
    </row>
    <row r="28" spans="1:15" s="29" customFormat="1" ht="18" x14ac:dyDescent="0.25">
      <c r="A28" s="30">
        <v>2020</v>
      </c>
      <c r="B28" s="184">
        <f>10630-138-140</f>
        <v>10352</v>
      </c>
      <c r="C28" s="184">
        <f>9855-147-177</f>
        <v>9531</v>
      </c>
      <c r="D28" s="184">
        <f>10891-129-163</f>
        <v>10599</v>
      </c>
      <c r="E28" s="184">
        <f>10787-125-68</f>
        <v>10594</v>
      </c>
      <c r="F28" s="184">
        <f>10933-150-90</f>
        <v>10693</v>
      </c>
      <c r="G28" s="184">
        <f>14378-219-170</f>
        <v>13989</v>
      </c>
      <c r="H28" s="184">
        <f>15820-321-212</f>
        <v>15287</v>
      </c>
      <c r="I28" s="184">
        <f>15170-303-299</f>
        <v>14568</v>
      </c>
      <c r="J28" s="184"/>
      <c r="K28" s="184"/>
      <c r="L28" s="184"/>
      <c r="M28" s="184"/>
      <c r="N28" s="189">
        <f t="shared" ref="N28" si="0">SUM(B28:M28)</f>
        <v>95613</v>
      </c>
      <c r="O28" s="56"/>
    </row>
    <row r="29" spans="1:15" s="29" customFormat="1" ht="18" x14ac:dyDescent="0.25">
      <c r="A29" s="31">
        <v>2019</v>
      </c>
      <c r="B29" s="186">
        <f>7176-143-147</f>
        <v>6886</v>
      </c>
      <c r="C29" s="186">
        <f>6893-166-129</f>
        <v>6598</v>
      </c>
      <c r="D29" s="186">
        <f>7627-181-158</f>
        <v>7288</v>
      </c>
      <c r="E29" s="186">
        <f>8517-203-146-1</f>
        <v>8167</v>
      </c>
      <c r="F29" s="186">
        <f>9552-286-225</f>
        <v>9041</v>
      </c>
      <c r="G29" s="186">
        <f>9472-325-231</f>
        <v>8916</v>
      </c>
      <c r="H29" s="186">
        <f>10657-406-376</f>
        <v>9875</v>
      </c>
      <c r="I29" s="186">
        <f>11651-399-379</f>
        <v>10873</v>
      </c>
      <c r="J29" s="186">
        <f>11943-272-367</f>
        <v>11304</v>
      </c>
      <c r="K29" s="186">
        <f>12301-198-267</f>
        <v>11836</v>
      </c>
      <c r="L29" s="186">
        <f>10578-136-184</f>
        <v>10258</v>
      </c>
      <c r="M29" s="186">
        <f>11617-190-168</f>
        <v>11259</v>
      </c>
      <c r="N29" s="176">
        <f t="shared" ref="N29:N36" si="1">SUM(B29:M29)</f>
        <v>112301</v>
      </c>
      <c r="O29" s="56"/>
    </row>
    <row r="30" spans="1:15" s="29" customFormat="1" ht="18" x14ac:dyDescent="0.25">
      <c r="A30" s="31">
        <v>2018</v>
      </c>
      <c r="B30" s="186">
        <f>9074-158-174</f>
        <v>8742</v>
      </c>
      <c r="C30" s="186">
        <f>7844-139-108</f>
        <v>7597</v>
      </c>
      <c r="D30" s="186">
        <f>9353-191-158</f>
        <v>9004</v>
      </c>
      <c r="E30" s="186">
        <f>8691-180-158</f>
        <v>8353</v>
      </c>
      <c r="F30" s="186">
        <f>9558-264-207</f>
        <v>9087</v>
      </c>
      <c r="G30" s="186">
        <f>8918-384-248</f>
        <v>8286</v>
      </c>
      <c r="H30" s="186">
        <f>9599-419-356</f>
        <v>8824</v>
      </c>
      <c r="I30" s="186">
        <f>10026-430-449</f>
        <v>9147</v>
      </c>
      <c r="J30" s="186">
        <f>8148-256-337</f>
        <v>7555</v>
      </c>
      <c r="K30" s="186">
        <f>8947-207-296</f>
        <v>8444</v>
      </c>
      <c r="L30" s="186">
        <f>7781-151-170</f>
        <v>7460</v>
      </c>
      <c r="M30" s="186">
        <f>7566-180-182</f>
        <v>7204</v>
      </c>
      <c r="N30" s="176">
        <f t="shared" si="1"/>
        <v>99703</v>
      </c>
      <c r="O30" s="56"/>
    </row>
    <row r="31" spans="1:15" s="39" customFormat="1" ht="18" x14ac:dyDescent="0.25">
      <c r="A31" s="31">
        <v>2017</v>
      </c>
      <c r="B31" s="176">
        <v>9903</v>
      </c>
      <c r="C31" s="176">
        <f>8874-171-119</f>
        <v>8584</v>
      </c>
      <c r="D31" s="176">
        <f>9813-233-223</f>
        <v>9357</v>
      </c>
      <c r="E31" s="176">
        <f>8563-171-139</f>
        <v>8253</v>
      </c>
      <c r="F31" s="176">
        <f>10477-238-171</f>
        <v>10068</v>
      </c>
      <c r="G31" s="176">
        <f>10733-399-288</f>
        <v>10046</v>
      </c>
      <c r="H31" s="176">
        <f>9806-399-353</f>
        <v>9054</v>
      </c>
      <c r="I31" s="176">
        <f>11228-422-448</f>
        <v>10358</v>
      </c>
      <c r="J31" s="176">
        <f>9746-277-342</f>
        <v>9127</v>
      </c>
      <c r="K31" s="176">
        <f>10488-206-257</f>
        <v>10025</v>
      </c>
      <c r="L31" s="176">
        <f>9713-152-189</f>
        <v>9372</v>
      </c>
      <c r="M31" s="176">
        <f>8875-177-176</f>
        <v>8522</v>
      </c>
      <c r="N31" s="176">
        <f t="shared" si="1"/>
        <v>112669</v>
      </c>
      <c r="O31" s="153"/>
    </row>
    <row r="32" spans="1:15" s="39" customFormat="1" ht="18" x14ac:dyDescent="0.25">
      <c r="A32" s="31">
        <v>2016</v>
      </c>
      <c r="B32" s="176">
        <v>8163</v>
      </c>
      <c r="C32" s="176">
        <v>8017</v>
      </c>
      <c r="D32" s="176">
        <v>9617</v>
      </c>
      <c r="E32" s="176">
        <v>9220</v>
      </c>
      <c r="F32" s="176">
        <v>9643</v>
      </c>
      <c r="G32" s="176">
        <v>10669</v>
      </c>
      <c r="H32" s="176">
        <v>9792</v>
      </c>
      <c r="I32" s="176">
        <v>11419</v>
      </c>
      <c r="J32" s="176">
        <v>10436</v>
      </c>
      <c r="K32" s="176">
        <v>10909</v>
      </c>
      <c r="L32" s="176">
        <v>10410</v>
      </c>
      <c r="M32" s="176">
        <v>11023</v>
      </c>
      <c r="N32" s="176">
        <f t="shared" si="1"/>
        <v>119318</v>
      </c>
      <c r="O32" s="153"/>
    </row>
    <row r="33" spans="1:15" s="29" customFormat="1" ht="18" hidden="1" x14ac:dyDescent="0.25">
      <c r="A33" s="31">
        <v>2015</v>
      </c>
      <c r="B33" s="176">
        <v>8694</v>
      </c>
      <c r="C33" s="176">
        <v>8730</v>
      </c>
      <c r="D33" s="176">
        <v>9134</v>
      </c>
      <c r="E33" s="176">
        <v>9149</v>
      </c>
      <c r="F33" s="176">
        <v>9177</v>
      </c>
      <c r="G33" s="176">
        <v>10876</v>
      </c>
      <c r="H33" s="176">
        <v>10692</v>
      </c>
      <c r="I33" s="176">
        <v>10079</v>
      </c>
      <c r="J33" s="176">
        <v>9280</v>
      </c>
      <c r="K33" s="176">
        <v>9363</v>
      </c>
      <c r="L33" s="176">
        <v>8378</v>
      </c>
      <c r="M33" s="176">
        <v>8890</v>
      </c>
      <c r="N33" s="176">
        <f t="shared" si="1"/>
        <v>112442</v>
      </c>
      <c r="O33" s="56"/>
    </row>
    <row r="34" spans="1:15" s="39" customFormat="1" ht="18" hidden="1" x14ac:dyDescent="0.25">
      <c r="A34" s="31">
        <v>2014</v>
      </c>
      <c r="B34" s="176">
        <v>6275</v>
      </c>
      <c r="C34" s="176">
        <v>5471</v>
      </c>
      <c r="D34" s="176">
        <v>5971</v>
      </c>
      <c r="E34" s="176">
        <v>6803</v>
      </c>
      <c r="F34" s="176">
        <v>7288</v>
      </c>
      <c r="G34" s="176">
        <v>7560</v>
      </c>
      <c r="H34" s="176">
        <v>8006</v>
      </c>
      <c r="I34" s="176">
        <v>7741</v>
      </c>
      <c r="J34" s="176">
        <v>7710</v>
      </c>
      <c r="K34" s="176">
        <v>8585</v>
      </c>
      <c r="L34" s="176">
        <v>7539</v>
      </c>
      <c r="M34" s="176">
        <v>9444</v>
      </c>
      <c r="N34" s="176">
        <f t="shared" si="1"/>
        <v>88393</v>
      </c>
      <c r="O34" s="153"/>
    </row>
    <row r="35" spans="1:15" s="39" customFormat="1" ht="18" hidden="1" x14ac:dyDescent="0.25">
      <c r="A35" s="31">
        <v>2013</v>
      </c>
      <c r="B35" s="176">
        <v>8626</v>
      </c>
      <c r="C35" s="176">
        <v>8277</v>
      </c>
      <c r="D35" s="176">
        <v>9573</v>
      </c>
      <c r="E35" s="176">
        <v>9971</v>
      </c>
      <c r="F35" s="176">
        <v>9652</v>
      </c>
      <c r="G35" s="176">
        <v>8901</v>
      </c>
      <c r="H35" s="176">
        <v>10519</v>
      </c>
      <c r="I35" s="176">
        <f>10420-546-521</f>
        <v>9353</v>
      </c>
      <c r="J35" s="176">
        <v>7494</v>
      </c>
      <c r="K35" s="176">
        <f>7970-417-435</f>
        <v>7118</v>
      </c>
      <c r="L35" s="176">
        <f>6578-144-162</f>
        <v>6272</v>
      </c>
      <c r="M35" s="176">
        <f>7063-426-495</f>
        <v>6142</v>
      </c>
      <c r="N35" s="176">
        <f t="shared" si="1"/>
        <v>101898</v>
      </c>
      <c r="O35" s="153"/>
    </row>
    <row r="36" spans="1:15" s="29" customFormat="1" ht="18" hidden="1" x14ac:dyDescent="0.25">
      <c r="A36" s="31">
        <v>2012</v>
      </c>
      <c r="B36" s="176">
        <v>6722</v>
      </c>
      <c r="C36" s="176">
        <v>7376</v>
      </c>
      <c r="D36" s="176">
        <v>8232</v>
      </c>
      <c r="E36" s="176">
        <v>7715</v>
      </c>
      <c r="F36" s="176">
        <v>8342</v>
      </c>
      <c r="G36" s="176">
        <v>8300</v>
      </c>
      <c r="H36" s="176">
        <v>8637</v>
      </c>
      <c r="I36" s="176">
        <v>9790</v>
      </c>
      <c r="J36" s="176">
        <v>7578</v>
      </c>
      <c r="K36" s="176">
        <v>10390</v>
      </c>
      <c r="L36" s="176">
        <v>9138</v>
      </c>
      <c r="M36" s="176">
        <v>9635</v>
      </c>
      <c r="N36" s="176">
        <f t="shared" si="1"/>
        <v>101855</v>
      </c>
      <c r="O36" s="56"/>
    </row>
    <row r="37" spans="1:15" s="39" customFormat="1" ht="18" hidden="1" x14ac:dyDescent="0.25">
      <c r="A37" s="72">
        <v>2011</v>
      </c>
      <c r="B37" s="68">
        <v>8296</v>
      </c>
      <c r="C37" s="68">
        <v>6705</v>
      </c>
      <c r="D37" s="68">
        <v>7119</v>
      </c>
      <c r="E37" s="68">
        <v>6203</v>
      </c>
      <c r="F37" s="68">
        <v>6498</v>
      </c>
      <c r="G37" s="68">
        <v>6760</v>
      </c>
      <c r="H37" s="68">
        <v>6411</v>
      </c>
      <c r="I37" s="68">
        <v>6911</v>
      </c>
      <c r="J37" s="68">
        <v>6580</v>
      </c>
      <c r="K37" s="68">
        <v>7207</v>
      </c>
      <c r="L37" s="68">
        <v>7035</v>
      </c>
      <c r="M37" s="68">
        <v>7706</v>
      </c>
      <c r="N37" s="69">
        <f t="shared" ref="N37:N44" si="2">SUM(B37:M37)</f>
        <v>83431</v>
      </c>
      <c r="O37" s="153"/>
    </row>
    <row r="38" spans="1:15" s="29" customFormat="1" ht="18" hidden="1" x14ac:dyDescent="0.25">
      <c r="A38" s="72">
        <v>2010</v>
      </c>
      <c r="B38" s="68">
        <v>6839</v>
      </c>
      <c r="C38" s="68">
        <v>6267</v>
      </c>
      <c r="D38" s="68">
        <v>7956</v>
      </c>
      <c r="E38" s="68">
        <v>7566</v>
      </c>
      <c r="F38" s="68">
        <v>7015</v>
      </c>
      <c r="G38" s="68">
        <v>8360</v>
      </c>
      <c r="H38" s="68">
        <v>7010</v>
      </c>
      <c r="I38" s="68">
        <v>8110</v>
      </c>
      <c r="J38" s="68">
        <v>8391</v>
      </c>
      <c r="K38" s="68">
        <v>8912</v>
      </c>
      <c r="L38" s="68">
        <v>9373</v>
      </c>
      <c r="M38" s="68">
        <v>8889</v>
      </c>
      <c r="N38" s="69">
        <f t="shared" si="2"/>
        <v>94688</v>
      </c>
      <c r="O38" s="56"/>
    </row>
    <row r="39" spans="1:15" s="29" customFormat="1" ht="18" hidden="1" x14ac:dyDescent="0.25">
      <c r="A39" s="72">
        <v>2009</v>
      </c>
      <c r="B39" s="68">
        <v>7320</v>
      </c>
      <c r="C39" s="68">
        <v>8280</v>
      </c>
      <c r="D39" s="68">
        <v>9681</v>
      </c>
      <c r="E39" s="68">
        <v>10427</v>
      </c>
      <c r="F39" s="68">
        <v>10058</v>
      </c>
      <c r="G39" s="68">
        <v>11286</v>
      </c>
      <c r="H39" s="68">
        <v>10414</v>
      </c>
      <c r="I39" s="68">
        <v>8101</v>
      </c>
      <c r="J39" s="68">
        <v>7759</v>
      </c>
      <c r="K39" s="68">
        <v>8112</v>
      </c>
      <c r="L39" s="68">
        <v>7316</v>
      </c>
      <c r="M39" s="68">
        <v>8426</v>
      </c>
      <c r="N39" s="69">
        <f t="shared" si="2"/>
        <v>107180</v>
      </c>
      <c r="O39" s="56"/>
    </row>
    <row r="40" spans="1:15" s="29" customFormat="1" ht="18" hidden="1" customHeight="1" x14ac:dyDescent="0.25">
      <c r="A40" s="72">
        <v>2008</v>
      </c>
      <c r="B40" s="68">
        <v>8537</v>
      </c>
      <c r="C40" s="68">
        <v>9879</v>
      </c>
      <c r="D40" s="68">
        <v>10829</v>
      </c>
      <c r="E40" s="68">
        <v>11065</v>
      </c>
      <c r="F40" s="68">
        <v>9663</v>
      </c>
      <c r="G40" s="68">
        <v>9136</v>
      </c>
      <c r="H40" s="68">
        <v>8849</v>
      </c>
      <c r="I40" s="68">
        <v>8504</v>
      </c>
      <c r="J40" s="68">
        <v>7851</v>
      </c>
      <c r="K40" s="68">
        <v>7806</v>
      </c>
      <c r="L40" s="68">
        <v>6272</v>
      </c>
      <c r="M40" s="68">
        <v>6453</v>
      </c>
      <c r="N40" s="69">
        <f t="shared" si="2"/>
        <v>104844</v>
      </c>
      <c r="O40" s="56"/>
    </row>
    <row r="41" spans="1:15" s="29" customFormat="1" ht="18" hidden="1" x14ac:dyDescent="0.25">
      <c r="A41" s="72">
        <v>2007</v>
      </c>
      <c r="B41" s="68">
        <v>12071</v>
      </c>
      <c r="C41" s="68">
        <v>11006</v>
      </c>
      <c r="D41" s="68">
        <v>13241</v>
      </c>
      <c r="E41" s="68">
        <v>12238</v>
      </c>
      <c r="F41" s="68">
        <v>12684</v>
      </c>
      <c r="G41" s="68">
        <v>13300</v>
      </c>
      <c r="H41" s="68">
        <v>11341</v>
      </c>
      <c r="I41" s="68">
        <v>12647</v>
      </c>
      <c r="J41" s="68">
        <v>9470</v>
      </c>
      <c r="K41" s="68">
        <v>10494</v>
      </c>
      <c r="L41" s="68">
        <v>8918</v>
      </c>
      <c r="M41" s="68">
        <v>8915</v>
      </c>
      <c r="N41" s="69">
        <f t="shared" si="2"/>
        <v>136325</v>
      </c>
      <c r="O41" s="56"/>
    </row>
    <row r="42" spans="1:15" s="29" customFormat="1" ht="18" hidden="1" x14ac:dyDescent="0.25">
      <c r="A42" s="72">
        <v>2006</v>
      </c>
      <c r="B42" s="68">
        <v>13476</v>
      </c>
      <c r="C42" s="68">
        <v>11701</v>
      </c>
      <c r="D42" s="68">
        <v>14965</v>
      </c>
      <c r="E42" s="68">
        <v>14439</v>
      </c>
      <c r="F42" s="68">
        <v>14884</v>
      </c>
      <c r="G42" s="68">
        <v>13887</v>
      </c>
      <c r="H42" s="68">
        <v>12566</v>
      </c>
      <c r="I42" s="68">
        <v>13338</v>
      </c>
      <c r="J42" s="68">
        <v>12086</v>
      </c>
      <c r="K42" s="68">
        <v>12496</v>
      </c>
      <c r="L42" s="68">
        <v>11823</v>
      </c>
      <c r="M42" s="68">
        <v>12860</v>
      </c>
      <c r="N42" s="69">
        <f t="shared" si="2"/>
        <v>158521</v>
      </c>
      <c r="O42" s="56"/>
    </row>
    <row r="43" spans="1:15" s="29" customFormat="1" ht="18" hidden="1" x14ac:dyDescent="0.25">
      <c r="A43" s="72">
        <v>2005</v>
      </c>
      <c r="B43" s="68">
        <v>12124</v>
      </c>
      <c r="C43" s="68">
        <v>11397</v>
      </c>
      <c r="D43" s="68">
        <v>14900</v>
      </c>
      <c r="E43" s="68">
        <v>13484</v>
      </c>
      <c r="F43" s="68">
        <v>14196</v>
      </c>
      <c r="G43" s="68">
        <v>15028</v>
      </c>
      <c r="H43" s="68">
        <v>14705</v>
      </c>
      <c r="I43" s="68">
        <v>16054</v>
      </c>
      <c r="J43" s="68">
        <v>15450</v>
      </c>
      <c r="K43" s="68">
        <v>15323</v>
      </c>
      <c r="L43" s="68">
        <v>15141</v>
      </c>
      <c r="M43" s="68">
        <v>14642</v>
      </c>
      <c r="N43" s="69">
        <f t="shared" si="2"/>
        <v>172444</v>
      </c>
      <c r="O43" s="56"/>
    </row>
    <row r="44" spans="1:15" s="29" customFormat="1" ht="18" hidden="1" x14ac:dyDescent="0.25">
      <c r="A44" s="72">
        <v>2004</v>
      </c>
      <c r="B44" s="68">
        <v>9252</v>
      </c>
      <c r="C44" s="68">
        <v>10562</v>
      </c>
      <c r="D44" s="68">
        <v>13839</v>
      </c>
      <c r="E44" s="68">
        <v>13192</v>
      </c>
      <c r="F44" s="68">
        <v>12736</v>
      </c>
      <c r="G44" s="68">
        <v>14049</v>
      </c>
      <c r="H44" s="68">
        <v>12678</v>
      </c>
      <c r="I44" s="68">
        <v>13027</v>
      </c>
      <c r="J44" s="68">
        <v>12216</v>
      </c>
      <c r="K44" s="68">
        <v>11749</v>
      </c>
      <c r="L44" s="68">
        <v>12729</v>
      </c>
      <c r="M44" s="68">
        <v>13011</v>
      </c>
      <c r="N44" s="69">
        <f t="shared" si="2"/>
        <v>149040</v>
      </c>
      <c r="O44" s="56"/>
    </row>
    <row r="45" spans="1:15" s="29" customFormat="1" ht="18" hidden="1" x14ac:dyDescent="0.25">
      <c r="A45" s="72">
        <v>2003</v>
      </c>
      <c r="B45" s="68">
        <v>14736</v>
      </c>
      <c r="C45" s="68">
        <v>14576</v>
      </c>
      <c r="D45" s="68">
        <v>16570</v>
      </c>
      <c r="E45" s="68">
        <v>17602</v>
      </c>
      <c r="F45" s="68">
        <v>16910</v>
      </c>
      <c r="G45" s="68">
        <f>18914-315-255</f>
        <v>18344</v>
      </c>
      <c r="H45" s="68">
        <v>20091</v>
      </c>
      <c r="I45" s="68">
        <v>19990</v>
      </c>
      <c r="J45" s="68">
        <v>18548</v>
      </c>
      <c r="K45" s="68">
        <v>19302</v>
      </c>
      <c r="L45" s="68">
        <v>13173</v>
      </c>
      <c r="M45" s="68">
        <v>13141</v>
      </c>
      <c r="N45" s="69">
        <f t="shared" ref="N45:N50" si="3">SUM(B45:M45)</f>
        <v>202983</v>
      </c>
      <c r="O45" s="56"/>
    </row>
    <row r="46" spans="1:15" s="29" customFormat="1" ht="18" hidden="1" x14ac:dyDescent="0.25">
      <c r="A46" s="72">
        <v>2002</v>
      </c>
      <c r="B46" s="68">
        <v>12028</v>
      </c>
      <c r="C46" s="68">
        <v>12874</v>
      </c>
      <c r="D46" s="68">
        <v>13311</v>
      </c>
      <c r="E46" s="68">
        <v>13316</v>
      </c>
      <c r="F46" s="68">
        <v>13940</v>
      </c>
      <c r="G46" s="68">
        <v>12475</v>
      </c>
      <c r="H46" s="68">
        <v>12740</v>
      </c>
      <c r="I46" s="68">
        <v>12614</v>
      </c>
      <c r="J46" s="68">
        <v>13001</v>
      </c>
      <c r="K46" s="68">
        <v>16556</v>
      </c>
      <c r="L46" s="68">
        <v>15127</v>
      </c>
      <c r="M46" s="68">
        <v>17743</v>
      </c>
      <c r="N46" s="69">
        <f t="shared" si="3"/>
        <v>165725</v>
      </c>
      <c r="O46" s="56"/>
    </row>
    <row r="47" spans="1:15" s="29" customFormat="1" ht="18" hidden="1" x14ac:dyDescent="0.25">
      <c r="A47" s="72">
        <v>2001</v>
      </c>
      <c r="B47" s="68">
        <v>7569</v>
      </c>
      <c r="C47" s="68">
        <v>7745</v>
      </c>
      <c r="D47" s="68">
        <v>10214</v>
      </c>
      <c r="E47" s="68">
        <v>10661</v>
      </c>
      <c r="F47" s="68">
        <v>12150</v>
      </c>
      <c r="G47" s="68">
        <v>11893</v>
      </c>
      <c r="H47" s="68">
        <v>11583</v>
      </c>
      <c r="I47" s="68">
        <v>12621</v>
      </c>
      <c r="J47" s="68">
        <v>10146</v>
      </c>
      <c r="K47" s="68">
        <v>12422</v>
      </c>
      <c r="L47" s="68">
        <v>12008</v>
      </c>
      <c r="M47" s="68">
        <v>12246</v>
      </c>
      <c r="N47" s="69">
        <f t="shared" si="3"/>
        <v>131258</v>
      </c>
    </row>
    <row r="48" spans="1:15" s="29" customFormat="1" ht="17.25" hidden="1" customHeight="1" x14ac:dyDescent="0.25">
      <c r="A48" s="31">
        <v>2000</v>
      </c>
      <c r="B48" s="44">
        <v>7463</v>
      </c>
      <c r="C48" s="44">
        <v>6891</v>
      </c>
      <c r="D48" s="44">
        <v>9397</v>
      </c>
      <c r="E48" s="44">
        <v>7573</v>
      </c>
      <c r="F48" s="44">
        <v>8165</v>
      </c>
      <c r="G48" s="44">
        <v>9160</v>
      </c>
      <c r="H48" s="44">
        <v>7002</v>
      </c>
      <c r="I48" s="44">
        <v>9034</v>
      </c>
      <c r="J48" s="44">
        <v>7753</v>
      </c>
      <c r="K48" s="44">
        <v>8270</v>
      </c>
      <c r="L48" s="44">
        <v>8115</v>
      </c>
      <c r="M48" s="44">
        <v>7496</v>
      </c>
      <c r="N48" s="69">
        <f t="shared" si="3"/>
        <v>96319</v>
      </c>
    </row>
    <row r="49" spans="1:41" s="29" customFormat="1" ht="18" hidden="1" x14ac:dyDescent="0.25">
      <c r="A49" s="47">
        <v>1999</v>
      </c>
      <c r="B49" s="68">
        <v>11072</v>
      </c>
      <c r="C49" s="68">
        <v>12223</v>
      </c>
      <c r="D49" s="68">
        <v>13432</v>
      </c>
      <c r="E49" s="68">
        <v>13052</v>
      </c>
      <c r="F49" s="68">
        <v>11841</v>
      </c>
      <c r="G49" s="68">
        <v>11207</v>
      </c>
      <c r="H49" s="68">
        <v>10769</v>
      </c>
      <c r="I49" s="68">
        <v>10135</v>
      </c>
      <c r="J49" s="68">
        <v>8576</v>
      </c>
      <c r="K49" s="68">
        <v>8343</v>
      </c>
      <c r="L49" s="68">
        <v>8869</v>
      </c>
      <c r="M49" s="68">
        <v>8922</v>
      </c>
      <c r="N49" s="69">
        <f t="shared" si="3"/>
        <v>128441</v>
      </c>
    </row>
    <row r="50" spans="1:41" s="29" customFormat="1" ht="18" hidden="1" x14ac:dyDescent="0.25">
      <c r="A50" s="80">
        <v>1998</v>
      </c>
      <c r="B50" s="68">
        <v>7923</v>
      </c>
      <c r="C50" s="68">
        <v>8719</v>
      </c>
      <c r="D50" s="68">
        <v>10840</v>
      </c>
      <c r="E50" s="68">
        <v>10222</v>
      </c>
      <c r="F50" s="68">
        <v>9824</v>
      </c>
      <c r="G50" s="68">
        <v>11371</v>
      </c>
      <c r="H50" s="68">
        <v>11421</v>
      </c>
      <c r="I50" s="68">
        <v>11364</v>
      </c>
      <c r="J50" s="68">
        <v>10709</v>
      </c>
      <c r="K50" s="68">
        <v>11066</v>
      </c>
      <c r="L50" s="68">
        <v>11718</v>
      </c>
      <c r="M50" s="68">
        <v>13065</v>
      </c>
      <c r="N50" s="69">
        <f t="shared" si="3"/>
        <v>128242</v>
      </c>
      <c r="O50" s="56"/>
    </row>
    <row r="51" spans="1:41" s="29" customFormat="1" ht="18" hidden="1" x14ac:dyDescent="0.25">
      <c r="A51" s="47">
        <v>1997</v>
      </c>
      <c r="B51" s="68">
        <v>5259</v>
      </c>
      <c r="C51" s="68">
        <v>5560</v>
      </c>
      <c r="D51" s="68">
        <v>7372</v>
      </c>
      <c r="E51" s="68">
        <v>7561</v>
      </c>
      <c r="F51" s="68">
        <v>7597</v>
      </c>
      <c r="G51" s="68">
        <v>7607</v>
      </c>
      <c r="H51" s="68">
        <v>8408</v>
      </c>
      <c r="I51" s="68">
        <v>7903</v>
      </c>
      <c r="J51" s="68">
        <v>8666</v>
      </c>
      <c r="K51" s="68">
        <v>8465</v>
      </c>
      <c r="L51" s="68">
        <v>6673</v>
      </c>
      <c r="M51" s="68">
        <v>8855</v>
      </c>
      <c r="N51" s="69">
        <f>SUM(B51:M51)</f>
        <v>89926</v>
      </c>
      <c r="O51" s="56"/>
    </row>
    <row r="52" spans="1:41" s="29" customFormat="1" ht="18" hidden="1" x14ac:dyDescent="0.25">
      <c r="A52" s="47" t="s">
        <v>81</v>
      </c>
      <c r="B52" s="68">
        <v>7540</v>
      </c>
      <c r="C52" s="68">
        <v>6913</v>
      </c>
      <c r="D52" s="68">
        <v>8480</v>
      </c>
      <c r="E52" s="68">
        <v>8788</v>
      </c>
      <c r="F52" s="68">
        <v>8320</v>
      </c>
      <c r="G52" s="68">
        <v>8496</v>
      </c>
      <c r="H52" s="68">
        <v>8012</v>
      </c>
      <c r="I52" s="68">
        <v>8082</v>
      </c>
      <c r="J52" s="68">
        <v>7547</v>
      </c>
      <c r="K52" s="68">
        <v>8304</v>
      </c>
      <c r="L52" s="68">
        <v>6527</v>
      </c>
      <c r="M52" s="68">
        <v>8560</v>
      </c>
      <c r="N52" s="69">
        <f>SUM(B52:M52)</f>
        <v>95569</v>
      </c>
      <c r="O52" s="56"/>
    </row>
    <row r="53" spans="1:41" s="29" customFormat="1" ht="18" hidden="1" x14ac:dyDescent="0.25">
      <c r="A53" s="47" t="s">
        <v>80</v>
      </c>
      <c r="B53" s="68">
        <v>6260</v>
      </c>
      <c r="C53" s="68">
        <v>5394</v>
      </c>
      <c r="D53" s="68">
        <v>6806</v>
      </c>
      <c r="E53" s="68">
        <v>6190</v>
      </c>
      <c r="F53" s="68">
        <v>7134</v>
      </c>
      <c r="G53" s="68">
        <v>6423</v>
      </c>
      <c r="H53" s="68">
        <v>6396</v>
      </c>
      <c r="I53" s="68">
        <v>8053</v>
      </c>
      <c r="J53" s="68">
        <v>7075</v>
      </c>
      <c r="K53" s="68">
        <v>7924</v>
      </c>
      <c r="L53" s="68">
        <v>7340</v>
      </c>
      <c r="M53" s="68">
        <v>7879</v>
      </c>
      <c r="N53" s="69">
        <f>SUM(B53:M53)</f>
        <v>82874</v>
      </c>
      <c r="O53" s="56"/>
    </row>
    <row r="54" spans="1:41" s="29" customFormat="1" ht="18" hidden="1" x14ac:dyDescent="0.25">
      <c r="A54" s="47" t="s">
        <v>7</v>
      </c>
      <c r="B54" s="68">
        <v>10204</v>
      </c>
      <c r="C54" s="68">
        <v>9047</v>
      </c>
      <c r="D54" s="68">
        <v>11588</v>
      </c>
      <c r="E54" s="68">
        <v>9627</v>
      </c>
      <c r="F54" s="68">
        <v>9355</v>
      </c>
      <c r="G54" s="68">
        <v>8796</v>
      </c>
      <c r="H54" s="68">
        <v>11989</v>
      </c>
      <c r="I54" s="68">
        <v>8484</v>
      </c>
      <c r="J54" s="68">
        <v>7728</v>
      </c>
      <c r="K54" s="68">
        <v>7604</v>
      </c>
      <c r="L54" s="68">
        <v>6837</v>
      </c>
      <c r="M54" s="68">
        <v>7276</v>
      </c>
      <c r="N54" s="69">
        <f>SUM(B54:M54)</f>
        <v>108535</v>
      </c>
      <c r="O54" s="56"/>
    </row>
    <row r="55" spans="1:41" s="29" customFormat="1" ht="18" hidden="1" x14ac:dyDescent="0.25">
      <c r="A55" s="47">
        <v>1993</v>
      </c>
      <c r="B55" s="68">
        <v>8075</v>
      </c>
      <c r="C55" s="68">
        <v>6454</v>
      </c>
      <c r="D55" s="68">
        <v>7694</v>
      </c>
      <c r="E55" s="68">
        <v>7203</v>
      </c>
      <c r="F55" s="68">
        <v>7511</v>
      </c>
      <c r="G55" s="68">
        <v>9005</v>
      </c>
      <c r="H55" s="68">
        <v>8017</v>
      </c>
      <c r="I55" s="68">
        <v>8256</v>
      </c>
      <c r="J55" s="68">
        <v>8545</v>
      </c>
      <c r="K55" s="68">
        <v>9138</v>
      </c>
      <c r="L55" s="68">
        <v>8751</v>
      </c>
      <c r="M55" s="68">
        <v>11253</v>
      </c>
      <c r="N55" s="69">
        <f>SUM(B55:M55)</f>
        <v>99902</v>
      </c>
      <c r="O55" s="56"/>
    </row>
    <row r="56" spans="1:41" ht="20.25" hidden="1" customHeight="1" x14ac:dyDescent="0.25">
      <c r="A56" s="70" t="s">
        <v>95</v>
      </c>
      <c r="B56" s="71">
        <f>SUM(B51:B55)/5</f>
        <v>7467.6</v>
      </c>
      <c r="C56" s="71">
        <f>SUM(C51:C55)/5</f>
        <v>6673.6</v>
      </c>
      <c r="D56" s="71">
        <f t="shared" ref="D56:N56" si="4">SUM(D51:D55)/5</f>
        <v>8388</v>
      </c>
      <c r="E56" s="71">
        <f t="shared" si="4"/>
        <v>7873.8</v>
      </c>
      <c r="F56" s="71">
        <f t="shared" si="4"/>
        <v>7983.4</v>
      </c>
      <c r="G56" s="71">
        <f t="shared" si="4"/>
        <v>8065.4</v>
      </c>
      <c r="H56" s="71">
        <f t="shared" si="4"/>
        <v>8564.4</v>
      </c>
      <c r="I56" s="71">
        <f t="shared" si="4"/>
        <v>8155.6</v>
      </c>
      <c r="J56" s="71">
        <f t="shared" si="4"/>
        <v>7912.2</v>
      </c>
      <c r="K56" s="71">
        <f t="shared" si="4"/>
        <v>8287</v>
      </c>
      <c r="L56" s="71">
        <f t="shared" si="4"/>
        <v>7225.6</v>
      </c>
      <c r="M56" s="71">
        <f t="shared" si="4"/>
        <v>8764.6</v>
      </c>
      <c r="N56" s="71">
        <f t="shared" si="4"/>
        <v>95361.2</v>
      </c>
    </row>
    <row r="57" spans="1:41" s="29" customFormat="1" ht="18" hidden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41" s="29" customFormat="1" ht="18" hidden="1" x14ac:dyDescent="0.25">
      <c r="A58" s="67" t="s">
        <v>97</v>
      </c>
      <c r="B58" s="73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1:41" s="29" customFormat="1" ht="18" hidden="1" x14ac:dyDescent="0.25">
      <c r="A59" s="74">
        <v>2002</v>
      </c>
      <c r="B59" s="75">
        <f>B46/M47-1</f>
        <v>-1.7801731177527369E-2</v>
      </c>
      <c r="C59" s="75">
        <f t="shared" ref="C59:M59" si="5">+(C46-B46)/B46</f>
        <v>7.0335882939807123E-2</v>
      </c>
      <c r="D59" s="75">
        <f t="shared" si="5"/>
        <v>3.3944384029827558E-2</v>
      </c>
      <c r="E59" s="75">
        <f t="shared" si="5"/>
        <v>3.7562917887461498E-4</v>
      </c>
      <c r="F59" s="75">
        <f t="shared" si="5"/>
        <v>4.6860919194953436E-2</v>
      </c>
      <c r="G59" s="75">
        <f t="shared" si="5"/>
        <v>-0.10509325681492108</v>
      </c>
      <c r="H59" s="75">
        <f t="shared" si="5"/>
        <v>2.1242484969939881E-2</v>
      </c>
      <c r="I59" s="75">
        <f t="shared" si="5"/>
        <v>-9.8901098901098897E-3</v>
      </c>
      <c r="J59" s="75">
        <f t="shared" si="5"/>
        <v>3.0680196606944665E-2</v>
      </c>
      <c r="K59" s="75">
        <f t="shared" si="5"/>
        <v>0.27344050457657104</v>
      </c>
      <c r="L59" s="75">
        <f t="shared" si="5"/>
        <v>-8.6313119110896355E-2</v>
      </c>
      <c r="M59" s="75">
        <f t="shared" si="5"/>
        <v>0.17293581014080783</v>
      </c>
    </row>
    <row r="60" spans="1:41" s="29" customFormat="1" ht="18" hidden="1" x14ac:dyDescent="0.25">
      <c r="A60" s="76">
        <v>2001</v>
      </c>
      <c r="B60" s="57">
        <f>B47/M48-1</f>
        <v>9.7385272145145141E-3</v>
      </c>
      <c r="C60" s="57">
        <f>+(C47-B47)/B47</f>
        <v>2.325274144536927E-2</v>
      </c>
      <c r="D60" s="57">
        <f>+(D47-C47)/C47</f>
        <v>0.31878631375080696</v>
      </c>
      <c r="E60" s="57">
        <f t="shared" ref="E60:M60" si="6">+(E47-D47)/D47</f>
        <v>4.3763461915018599E-2</v>
      </c>
      <c r="F60" s="57">
        <f t="shared" si="6"/>
        <v>0.13966794859769252</v>
      </c>
      <c r="G60" s="57">
        <f t="shared" si="6"/>
        <v>-2.1152263374485596E-2</v>
      </c>
      <c r="H60" s="57">
        <f t="shared" si="6"/>
        <v>-2.6065752963928362E-2</v>
      </c>
      <c r="I60" s="57">
        <f t="shared" si="6"/>
        <v>8.961408961408962E-2</v>
      </c>
      <c r="J60" s="57">
        <f t="shared" si="6"/>
        <v>-0.19610173520323271</v>
      </c>
      <c r="K60" s="57">
        <f t="shared" si="6"/>
        <v>0.22432485708653657</v>
      </c>
      <c r="L60" s="57">
        <f t="shared" si="6"/>
        <v>-3.3327966511028817E-2</v>
      </c>
      <c r="M60" s="57">
        <f t="shared" si="6"/>
        <v>1.9820119920053298E-2</v>
      </c>
    </row>
    <row r="61" spans="1:41" s="29" customFormat="1" ht="18" hidden="1" x14ac:dyDescent="0.25">
      <c r="A61" s="76">
        <v>2000</v>
      </c>
      <c r="B61" s="77">
        <f>B48/M49-1</f>
        <v>-0.16352835687065681</v>
      </c>
      <c r="C61" s="57">
        <f t="shared" ref="C61:M61" si="7">+(C48-B48)/B48</f>
        <v>-7.6644780919201391E-2</v>
      </c>
      <c r="D61" s="57">
        <f t="shared" si="7"/>
        <v>0.36366274851255259</v>
      </c>
      <c r="E61" s="57">
        <f t="shared" si="7"/>
        <v>-0.19410450143662872</v>
      </c>
      <c r="F61" s="57">
        <f t="shared" si="7"/>
        <v>7.817245477353757E-2</v>
      </c>
      <c r="G61" s="57">
        <f t="shared" si="7"/>
        <v>0.12186160440906307</v>
      </c>
      <c r="H61" s="57">
        <f t="shared" si="7"/>
        <v>-0.23558951965065503</v>
      </c>
      <c r="I61" s="57">
        <f t="shared" si="7"/>
        <v>0.29020279920022851</v>
      </c>
      <c r="J61" s="57">
        <f t="shared" si="7"/>
        <v>-0.14179765330971883</v>
      </c>
      <c r="K61" s="57">
        <f t="shared" si="7"/>
        <v>6.6683864310589452E-2</v>
      </c>
      <c r="L61" s="57">
        <f t="shared" si="7"/>
        <v>-1.8742442563482467E-2</v>
      </c>
      <c r="M61" s="57">
        <f t="shared" si="7"/>
        <v>-7.6278496611213803E-2</v>
      </c>
    </row>
    <row r="62" spans="1:41" s="29" customFormat="1" ht="18" hidden="1" x14ac:dyDescent="0.25">
      <c r="A62" s="76">
        <v>1999</v>
      </c>
      <c r="B62" s="77">
        <f>B49/M56-1</f>
        <v>0.26326358304999653</v>
      </c>
      <c r="C62" s="57">
        <f t="shared" ref="C62:M62" si="8">+(C49-B49)/B49</f>
        <v>0.10395592485549134</v>
      </c>
      <c r="D62" s="57">
        <f t="shared" si="8"/>
        <v>9.8911887425345665E-2</v>
      </c>
      <c r="E62" s="57">
        <f t="shared" si="8"/>
        <v>-2.8290649195949969E-2</v>
      </c>
      <c r="F62" s="57">
        <f t="shared" si="8"/>
        <v>-9.2782715292675455E-2</v>
      </c>
      <c r="G62" s="57">
        <f t="shared" si="8"/>
        <v>-5.35427751034541E-2</v>
      </c>
      <c r="H62" s="57">
        <f t="shared" si="8"/>
        <v>-3.9082716159543146E-2</v>
      </c>
      <c r="I62" s="57">
        <f t="shared" si="8"/>
        <v>-5.8872690129074194E-2</v>
      </c>
      <c r="J62" s="57">
        <f t="shared" si="8"/>
        <v>-0.15382338431179082</v>
      </c>
      <c r="K62" s="57">
        <f t="shared" si="8"/>
        <v>-2.716884328358209E-2</v>
      </c>
      <c r="L62" s="57">
        <f t="shared" si="8"/>
        <v>6.3046865635862398E-2</v>
      </c>
      <c r="M62" s="57">
        <f t="shared" si="8"/>
        <v>5.9758710113879806E-3</v>
      </c>
    </row>
    <row r="63" spans="1:41" s="29" customFormat="1" ht="18" hidden="1" x14ac:dyDescent="0.25">
      <c r="A63" s="76">
        <v>1998</v>
      </c>
      <c r="B63" s="78">
        <f>B50/M51-1</f>
        <v>-0.10525127046866178</v>
      </c>
      <c r="C63" s="57">
        <f t="shared" ref="C63:M63" si="9">+(C50-B50)/B50</f>
        <v>0.10046699482519247</v>
      </c>
      <c r="D63" s="57">
        <f t="shared" si="9"/>
        <v>0.24326184195435258</v>
      </c>
      <c r="E63" s="57">
        <f t="shared" si="9"/>
        <v>-5.7011070110701105E-2</v>
      </c>
      <c r="F63" s="57">
        <f t="shared" si="9"/>
        <v>-3.893562903541381E-2</v>
      </c>
      <c r="G63" s="57">
        <f t="shared" si="9"/>
        <v>0.15747149837133551</v>
      </c>
      <c r="H63" s="57">
        <f t="shared" si="9"/>
        <v>4.3971506463811446E-3</v>
      </c>
      <c r="I63" s="57">
        <f t="shared" si="9"/>
        <v>-4.9908064092461252E-3</v>
      </c>
      <c r="J63" s="57">
        <f t="shared" si="9"/>
        <v>-5.7638155579021473E-2</v>
      </c>
      <c r="K63" s="57">
        <f t="shared" si="9"/>
        <v>3.333644598001681E-2</v>
      </c>
      <c r="L63" s="57">
        <f t="shared" si="9"/>
        <v>5.8919212000722934E-2</v>
      </c>
      <c r="M63" s="57">
        <f t="shared" si="9"/>
        <v>0.11495135688684076</v>
      </c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1:41" s="29" customFormat="1" ht="18" hidden="1" x14ac:dyDescent="0.25">
      <c r="A64" s="67" t="s">
        <v>98</v>
      </c>
      <c r="B64" s="79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6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1:41" s="29" customFormat="1" ht="18" hidden="1" x14ac:dyDescent="0.25">
      <c r="A65" s="74">
        <v>2002</v>
      </c>
      <c r="B65" s="75">
        <f>B46/B47-1</f>
        <v>0.58911348923239526</v>
      </c>
      <c r="C65" s="75">
        <f t="shared" ref="C65:M66" si="10">C46/C47-1</f>
        <v>0.66223369916074892</v>
      </c>
      <c r="D65" s="75">
        <f t="shared" si="10"/>
        <v>0.30321127863716457</v>
      </c>
      <c r="E65" s="75">
        <f t="shared" si="10"/>
        <v>0.24903855173060685</v>
      </c>
      <c r="F65" s="75">
        <f t="shared" si="10"/>
        <v>0.14732510288065837</v>
      </c>
      <c r="G65" s="75">
        <f t="shared" si="10"/>
        <v>4.8936349112923549E-2</v>
      </c>
      <c r="H65" s="75">
        <f t="shared" si="10"/>
        <v>9.9887766554433322E-2</v>
      </c>
      <c r="I65" s="75">
        <f t="shared" si="10"/>
        <v>-5.5463117027176878E-4</v>
      </c>
      <c r="J65" s="75">
        <f t="shared" si="10"/>
        <v>0.28139168145081817</v>
      </c>
      <c r="K65" s="75">
        <f t="shared" si="10"/>
        <v>0.33279665110288192</v>
      </c>
      <c r="L65" s="75">
        <f t="shared" si="10"/>
        <v>0.25974350433044635</v>
      </c>
      <c r="M65" s="75">
        <f t="shared" si="10"/>
        <v>0.44888126735260503</v>
      </c>
      <c r="N65" s="6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</row>
    <row r="66" spans="1:41" s="29" customFormat="1" ht="18" hidden="1" x14ac:dyDescent="0.25">
      <c r="A66" s="76">
        <v>2001</v>
      </c>
      <c r="B66" s="57">
        <f>B47/B48-1</f>
        <v>1.4203403457054842E-2</v>
      </c>
      <c r="C66" s="57">
        <f t="shared" si="10"/>
        <v>0.12392976345958506</v>
      </c>
      <c r="D66" s="57">
        <f t="shared" si="10"/>
        <v>8.694264126848994E-2</v>
      </c>
      <c r="E66" s="57">
        <f t="shared" si="10"/>
        <v>0.4077644262511555</v>
      </c>
      <c r="F66" s="57">
        <f t="shared" si="10"/>
        <v>0.48805878750765452</v>
      </c>
      <c r="G66" s="57">
        <f t="shared" si="10"/>
        <v>0.29836244541484724</v>
      </c>
      <c r="H66" s="57">
        <f t="shared" si="10"/>
        <v>0.65424164524421591</v>
      </c>
      <c r="I66" s="57">
        <f t="shared" si="10"/>
        <v>0.39705556785477092</v>
      </c>
      <c r="J66" s="57">
        <f t="shared" si="10"/>
        <v>0.30865471430414027</v>
      </c>
      <c r="K66" s="57">
        <f t="shared" si="10"/>
        <v>0.50205562273276905</v>
      </c>
      <c r="L66" s="57">
        <f t="shared" si="10"/>
        <v>0.47972889710412825</v>
      </c>
      <c r="M66" s="57">
        <f t="shared" si="10"/>
        <v>0.63367129135538947</v>
      </c>
      <c r="N66" s="6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</row>
    <row r="67" spans="1:41" s="29" customFormat="1" ht="18" hidden="1" x14ac:dyDescent="0.25">
      <c r="A67" s="76">
        <v>2000</v>
      </c>
      <c r="B67" s="77">
        <f t="shared" ref="B67:M67" si="11">B48/B49-1</f>
        <v>-0.32595736994219648</v>
      </c>
      <c r="C67" s="77">
        <f t="shared" si="11"/>
        <v>-0.43622678556819117</v>
      </c>
      <c r="D67" s="77">
        <f t="shared" si="11"/>
        <v>-0.30040202501488977</v>
      </c>
      <c r="E67" s="77">
        <f t="shared" si="11"/>
        <v>-0.41978240882623352</v>
      </c>
      <c r="F67" s="77">
        <f t="shared" si="11"/>
        <v>-0.31044675280803991</v>
      </c>
      <c r="G67" s="77">
        <f t="shared" si="11"/>
        <v>-0.18265369858124392</v>
      </c>
      <c r="H67" s="77">
        <f t="shared" si="11"/>
        <v>-0.34980035286470423</v>
      </c>
      <c r="I67" s="77">
        <f t="shared" si="11"/>
        <v>-0.10863344844597933</v>
      </c>
      <c r="J67" s="77">
        <f t="shared" si="11"/>
        <v>-9.5965485074626877E-2</v>
      </c>
      <c r="K67" s="77">
        <f t="shared" si="11"/>
        <v>-8.749850173798368E-3</v>
      </c>
      <c r="L67" s="77">
        <f t="shared" si="11"/>
        <v>-8.5015221558236598E-2</v>
      </c>
      <c r="M67" s="77">
        <f t="shared" si="11"/>
        <v>-0.1598296346110738</v>
      </c>
      <c r="N67" s="6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</row>
    <row r="68" spans="1:41" s="29" customFormat="1" ht="18" hidden="1" x14ac:dyDescent="0.25">
      <c r="A68" s="76">
        <v>1999</v>
      </c>
      <c r="B68" s="77">
        <f t="shared" ref="B68:M68" si="12">B49/B50-1</f>
        <v>0.39745046068408429</v>
      </c>
      <c r="C68" s="77">
        <f t="shared" si="12"/>
        <v>0.40188094965018917</v>
      </c>
      <c r="D68" s="77">
        <f t="shared" si="12"/>
        <v>0.23911439114391153</v>
      </c>
      <c r="E68" s="77">
        <f t="shared" si="12"/>
        <v>0.2768538446487967</v>
      </c>
      <c r="F68" s="77">
        <f t="shared" si="12"/>
        <v>0.20531351791530938</v>
      </c>
      <c r="G68" s="77">
        <f t="shared" si="12"/>
        <v>-1.4422654120130107E-2</v>
      </c>
      <c r="H68" s="77">
        <f t="shared" si="12"/>
        <v>-5.7087820681201329E-2</v>
      </c>
      <c r="I68" s="77">
        <f t="shared" si="12"/>
        <v>-0.10814853924674406</v>
      </c>
      <c r="J68" s="77">
        <f t="shared" si="12"/>
        <v>-0.1991782612755626</v>
      </c>
      <c r="K68" s="77">
        <f t="shared" si="12"/>
        <v>-0.24606904030363275</v>
      </c>
      <c r="L68" s="77">
        <f t="shared" si="12"/>
        <v>-0.2431302270011948</v>
      </c>
      <c r="M68" s="77">
        <f t="shared" si="12"/>
        <v>-0.31710677382319175</v>
      </c>
      <c r="N68" s="6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</row>
    <row r="69" spans="1:41" s="29" customFormat="1" ht="18" hidden="1" x14ac:dyDescent="0.25">
      <c r="A69" s="48">
        <v>1998</v>
      </c>
      <c r="B69" s="78">
        <f t="shared" ref="B69:M69" si="13">B50/B51-1</f>
        <v>0.50656018254420987</v>
      </c>
      <c r="C69" s="77">
        <f t="shared" si="13"/>
        <v>0.56816546762589937</v>
      </c>
      <c r="D69" s="77">
        <f t="shared" si="13"/>
        <v>0.47042864894194247</v>
      </c>
      <c r="E69" s="77">
        <f t="shared" si="13"/>
        <v>0.35193757439492135</v>
      </c>
      <c r="F69" s="77">
        <f t="shared" si="13"/>
        <v>0.29314202974858494</v>
      </c>
      <c r="G69" s="77">
        <f t="shared" si="13"/>
        <v>0.4948074142237413</v>
      </c>
      <c r="H69" s="77">
        <f t="shared" si="13"/>
        <v>0.35834919124643205</v>
      </c>
      <c r="I69" s="77">
        <f t="shared" si="13"/>
        <v>0.43793496140706067</v>
      </c>
      <c r="J69" s="77">
        <f t="shared" si="13"/>
        <v>0.23574890376182789</v>
      </c>
      <c r="K69" s="77">
        <f t="shared" si="13"/>
        <v>0.30726520968694615</v>
      </c>
      <c r="L69" s="77">
        <f t="shared" si="13"/>
        <v>0.75603176981867226</v>
      </c>
      <c r="M69" s="77">
        <f t="shared" si="13"/>
        <v>0.47543760587238859</v>
      </c>
      <c r="N69" s="6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</row>
    <row r="70" spans="1:41" s="29" customFormat="1" ht="18" x14ac:dyDescent="0.25">
      <c r="A70" s="48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6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</row>
    <row r="71" spans="1:41" s="29" customFormat="1" ht="18" x14ac:dyDescent="0.25">
      <c r="A71" s="64" t="s">
        <v>100</v>
      </c>
      <c r="B71" s="79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6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</row>
    <row r="72" spans="1:41" s="29" customFormat="1" ht="18" x14ac:dyDescent="0.25">
      <c r="A72" s="170">
        <v>2020</v>
      </c>
      <c r="B72" s="50">
        <f t="shared" ref="B72:B81" si="14">B28</f>
        <v>10352</v>
      </c>
      <c r="C72" s="50">
        <f t="shared" ref="C72:M73" si="15">C28+B72</f>
        <v>19883</v>
      </c>
      <c r="D72" s="50">
        <f t="shared" si="15"/>
        <v>30482</v>
      </c>
      <c r="E72" s="50">
        <f t="shared" si="15"/>
        <v>41076</v>
      </c>
      <c r="F72" s="50">
        <f t="shared" si="15"/>
        <v>51769</v>
      </c>
      <c r="G72" s="50">
        <f t="shared" si="15"/>
        <v>65758</v>
      </c>
      <c r="H72" s="50">
        <f t="shared" si="15"/>
        <v>81045</v>
      </c>
      <c r="I72" s="50">
        <f t="shared" si="15"/>
        <v>95613</v>
      </c>
      <c r="J72" s="50"/>
      <c r="K72" s="50"/>
      <c r="L72" s="50"/>
      <c r="M72" s="50"/>
      <c r="N72" s="6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</row>
    <row r="73" spans="1:41" s="29" customFormat="1" ht="18" x14ac:dyDescent="0.25">
      <c r="A73" s="80">
        <v>2019</v>
      </c>
      <c r="B73" s="44">
        <f t="shared" si="14"/>
        <v>6886</v>
      </c>
      <c r="C73" s="44">
        <f t="shared" si="15"/>
        <v>13484</v>
      </c>
      <c r="D73" s="44">
        <f t="shared" si="15"/>
        <v>20772</v>
      </c>
      <c r="E73" s="44">
        <f t="shared" si="15"/>
        <v>28939</v>
      </c>
      <c r="F73" s="44">
        <f t="shared" si="15"/>
        <v>37980</v>
      </c>
      <c r="G73" s="44">
        <f t="shared" si="15"/>
        <v>46896</v>
      </c>
      <c r="H73" s="44">
        <f t="shared" si="15"/>
        <v>56771</v>
      </c>
      <c r="I73" s="44">
        <f t="shared" si="15"/>
        <v>67644</v>
      </c>
      <c r="J73" s="44">
        <f t="shared" si="15"/>
        <v>78948</v>
      </c>
      <c r="K73" s="44">
        <f t="shared" si="15"/>
        <v>90784</v>
      </c>
      <c r="L73" s="44">
        <f t="shared" si="15"/>
        <v>101042</v>
      </c>
      <c r="M73" s="44">
        <f t="shared" si="15"/>
        <v>112301</v>
      </c>
      <c r="N73" s="6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</row>
    <row r="74" spans="1:41" s="29" customFormat="1" ht="18" x14ac:dyDescent="0.25">
      <c r="A74" s="80">
        <v>2018</v>
      </c>
      <c r="B74" s="44">
        <f t="shared" si="14"/>
        <v>8742</v>
      </c>
      <c r="C74" s="44">
        <f t="shared" ref="C74:M74" si="16">C30+B74</f>
        <v>16339</v>
      </c>
      <c r="D74" s="44">
        <f t="shared" si="16"/>
        <v>25343</v>
      </c>
      <c r="E74" s="44">
        <f t="shared" si="16"/>
        <v>33696</v>
      </c>
      <c r="F74" s="44">
        <f t="shared" si="16"/>
        <v>42783</v>
      </c>
      <c r="G74" s="44">
        <f t="shared" si="16"/>
        <v>51069</v>
      </c>
      <c r="H74" s="44">
        <f t="shared" si="16"/>
        <v>59893</v>
      </c>
      <c r="I74" s="44">
        <f t="shared" si="16"/>
        <v>69040</v>
      </c>
      <c r="J74" s="44">
        <f t="shared" si="16"/>
        <v>76595</v>
      </c>
      <c r="K74" s="44">
        <f t="shared" si="16"/>
        <v>85039</v>
      </c>
      <c r="L74" s="44">
        <f t="shared" si="16"/>
        <v>92499</v>
      </c>
      <c r="M74" s="44">
        <f t="shared" si="16"/>
        <v>99703</v>
      </c>
      <c r="N74" s="6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</row>
    <row r="75" spans="1:41" s="29" customFormat="1" ht="18" x14ac:dyDescent="0.25">
      <c r="A75" s="80">
        <v>2017</v>
      </c>
      <c r="B75" s="44">
        <f t="shared" si="14"/>
        <v>9903</v>
      </c>
      <c r="C75" s="44">
        <f>C31+B75</f>
        <v>18487</v>
      </c>
      <c r="D75" s="44">
        <f t="shared" ref="D75:M75" si="17">D31+C75</f>
        <v>27844</v>
      </c>
      <c r="E75" s="44">
        <f t="shared" si="17"/>
        <v>36097</v>
      </c>
      <c r="F75" s="44">
        <f t="shared" si="17"/>
        <v>46165</v>
      </c>
      <c r="G75" s="44">
        <f t="shared" si="17"/>
        <v>56211</v>
      </c>
      <c r="H75" s="44">
        <f t="shared" si="17"/>
        <v>65265</v>
      </c>
      <c r="I75" s="44">
        <f t="shared" si="17"/>
        <v>75623</v>
      </c>
      <c r="J75" s="44">
        <f t="shared" si="17"/>
        <v>84750</v>
      </c>
      <c r="K75" s="44">
        <f t="shared" si="17"/>
        <v>94775</v>
      </c>
      <c r="L75" s="44">
        <f t="shared" si="17"/>
        <v>104147</v>
      </c>
      <c r="M75" s="44">
        <f t="shared" si="17"/>
        <v>112669</v>
      </c>
      <c r="N75" s="6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</row>
    <row r="76" spans="1:41" s="39" customFormat="1" ht="18" x14ac:dyDescent="0.25">
      <c r="A76" s="80">
        <v>2016</v>
      </c>
      <c r="B76" s="44">
        <f t="shared" si="14"/>
        <v>8163</v>
      </c>
      <c r="C76" s="44">
        <f>C32+B76</f>
        <v>16180</v>
      </c>
      <c r="D76" s="44">
        <f t="shared" ref="D76:M76" si="18">D32+C76</f>
        <v>25797</v>
      </c>
      <c r="E76" s="44">
        <f t="shared" si="18"/>
        <v>35017</v>
      </c>
      <c r="F76" s="44">
        <f t="shared" si="18"/>
        <v>44660</v>
      </c>
      <c r="G76" s="44">
        <f t="shared" si="18"/>
        <v>55329</v>
      </c>
      <c r="H76" s="44">
        <f t="shared" si="18"/>
        <v>65121</v>
      </c>
      <c r="I76" s="44">
        <f t="shared" si="18"/>
        <v>76540</v>
      </c>
      <c r="J76" s="44">
        <f t="shared" si="18"/>
        <v>86976</v>
      </c>
      <c r="K76" s="44">
        <f t="shared" si="18"/>
        <v>97885</v>
      </c>
      <c r="L76" s="44">
        <f t="shared" si="18"/>
        <v>108295</v>
      </c>
      <c r="M76" s="44">
        <f t="shared" si="18"/>
        <v>119318</v>
      </c>
      <c r="N76" s="71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</row>
    <row r="77" spans="1:41" s="29" customFormat="1" ht="18" hidden="1" x14ac:dyDescent="0.25">
      <c r="A77" s="80">
        <v>2015</v>
      </c>
      <c r="B77" s="44">
        <f t="shared" si="14"/>
        <v>8694</v>
      </c>
      <c r="C77" s="44">
        <f>C33+B77</f>
        <v>17424</v>
      </c>
      <c r="D77" s="44">
        <f t="shared" ref="D77:G77" si="19">D33+C77</f>
        <v>26558</v>
      </c>
      <c r="E77" s="44">
        <f t="shared" si="19"/>
        <v>35707</v>
      </c>
      <c r="F77" s="44">
        <f t="shared" si="19"/>
        <v>44884</v>
      </c>
      <c r="G77" s="44">
        <f t="shared" si="19"/>
        <v>55760</v>
      </c>
      <c r="H77" s="44">
        <f t="shared" ref="H77:M77" si="20">H33+G77</f>
        <v>66452</v>
      </c>
      <c r="I77" s="44">
        <f t="shared" si="20"/>
        <v>76531</v>
      </c>
      <c r="J77" s="44">
        <f t="shared" si="20"/>
        <v>85811</v>
      </c>
      <c r="K77" s="44">
        <f t="shared" si="20"/>
        <v>95174</v>
      </c>
      <c r="L77" s="44">
        <f t="shared" si="20"/>
        <v>103552</v>
      </c>
      <c r="M77" s="44">
        <f t="shared" si="20"/>
        <v>112442</v>
      </c>
      <c r="N77" s="6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</row>
    <row r="78" spans="1:41" s="29" customFormat="1" ht="18" hidden="1" x14ac:dyDescent="0.25">
      <c r="A78" s="80">
        <v>2014</v>
      </c>
      <c r="B78" s="44">
        <f t="shared" si="14"/>
        <v>6275</v>
      </c>
      <c r="C78" s="44">
        <f>C34+B78</f>
        <v>11746</v>
      </c>
      <c r="D78" s="44">
        <f t="shared" ref="D78:M78" si="21">D34+C78</f>
        <v>17717</v>
      </c>
      <c r="E78" s="44">
        <f t="shared" si="21"/>
        <v>24520</v>
      </c>
      <c r="F78" s="44">
        <f t="shared" si="21"/>
        <v>31808</v>
      </c>
      <c r="G78" s="44">
        <f t="shared" si="21"/>
        <v>39368</v>
      </c>
      <c r="H78" s="44">
        <f t="shared" si="21"/>
        <v>47374</v>
      </c>
      <c r="I78" s="44">
        <f t="shared" si="21"/>
        <v>55115</v>
      </c>
      <c r="J78" s="44">
        <f t="shared" si="21"/>
        <v>62825</v>
      </c>
      <c r="K78" s="44">
        <f t="shared" si="21"/>
        <v>71410</v>
      </c>
      <c r="L78" s="44">
        <f t="shared" si="21"/>
        <v>78949</v>
      </c>
      <c r="M78" s="44">
        <f t="shared" si="21"/>
        <v>88393</v>
      </c>
      <c r="N78" s="71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</row>
    <row r="79" spans="1:41" s="29" customFormat="1" ht="18" hidden="1" x14ac:dyDescent="0.25">
      <c r="A79" s="80">
        <v>2013</v>
      </c>
      <c r="B79" s="44">
        <f t="shared" si="14"/>
        <v>8626</v>
      </c>
      <c r="C79" s="44">
        <f>C35+B79</f>
        <v>16903</v>
      </c>
      <c r="D79" s="44">
        <f t="shared" ref="D79:M79" si="22">D35+C79</f>
        <v>26476</v>
      </c>
      <c r="E79" s="44">
        <f t="shared" si="22"/>
        <v>36447</v>
      </c>
      <c r="F79" s="44">
        <f t="shared" si="22"/>
        <v>46099</v>
      </c>
      <c r="G79" s="44">
        <f t="shared" si="22"/>
        <v>55000</v>
      </c>
      <c r="H79" s="44">
        <f t="shared" si="22"/>
        <v>65519</v>
      </c>
      <c r="I79" s="44">
        <f t="shared" si="22"/>
        <v>74872</v>
      </c>
      <c r="J79" s="44">
        <f t="shared" si="22"/>
        <v>82366</v>
      </c>
      <c r="K79" s="44">
        <f t="shared" si="22"/>
        <v>89484</v>
      </c>
      <c r="L79" s="44">
        <f t="shared" si="22"/>
        <v>95756</v>
      </c>
      <c r="M79" s="44">
        <f t="shared" si="22"/>
        <v>101898</v>
      </c>
      <c r="N79" s="6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</row>
    <row r="80" spans="1:41" s="39" customFormat="1" ht="18" hidden="1" x14ac:dyDescent="0.25">
      <c r="A80" s="31">
        <v>2012</v>
      </c>
      <c r="B80" s="44">
        <f t="shared" si="14"/>
        <v>6722</v>
      </c>
      <c r="C80" s="44">
        <f t="shared" ref="C80:M80" si="23">B80+C36</f>
        <v>14098</v>
      </c>
      <c r="D80" s="44">
        <f t="shared" si="23"/>
        <v>22330</v>
      </c>
      <c r="E80" s="44">
        <f t="shared" si="23"/>
        <v>30045</v>
      </c>
      <c r="F80" s="44">
        <f t="shared" si="23"/>
        <v>38387</v>
      </c>
      <c r="G80" s="44">
        <f t="shared" si="23"/>
        <v>46687</v>
      </c>
      <c r="H80" s="44">
        <f t="shared" si="23"/>
        <v>55324</v>
      </c>
      <c r="I80" s="44">
        <f t="shared" si="23"/>
        <v>65114</v>
      </c>
      <c r="J80" s="44">
        <f t="shared" si="23"/>
        <v>72692</v>
      </c>
      <c r="K80" s="44">
        <f t="shared" si="23"/>
        <v>83082</v>
      </c>
      <c r="L80" s="44">
        <f t="shared" si="23"/>
        <v>92220</v>
      </c>
      <c r="M80" s="44">
        <f t="shared" si="23"/>
        <v>101855</v>
      </c>
      <c r="N80" s="68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</row>
    <row r="81" spans="1:41" s="29" customFormat="1" ht="18" hidden="1" x14ac:dyDescent="0.25">
      <c r="A81" s="80">
        <v>2011</v>
      </c>
      <c r="B81" s="44">
        <f t="shared" si="14"/>
        <v>8296</v>
      </c>
      <c r="C81" s="44">
        <f t="shared" ref="C81:M81" si="24">C37+B81</f>
        <v>15001</v>
      </c>
      <c r="D81" s="44">
        <f t="shared" si="24"/>
        <v>22120</v>
      </c>
      <c r="E81" s="44">
        <f t="shared" si="24"/>
        <v>28323</v>
      </c>
      <c r="F81" s="44">
        <f t="shared" si="24"/>
        <v>34821</v>
      </c>
      <c r="G81" s="44">
        <f t="shared" si="24"/>
        <v>41581</v>
      </c>
      <c r="H81" s="44">
        <f t="shared" si="24"/>
        <v>47992</v>
      </c>
      <c r="I81" s="44">
        <f t="shared" si="24"/>
        <v>54903</v>
      </c>
      <c r="J81" s="44">
        <f t="shared" si="24"/>
        <v>61483</v>
      </c>
      <c r="K81" s="44">
        <f t="shared" si="24"/>
        <v>68690</v>
      </c>
      <c r="L81" s="44">
        <f t="shared" si="24"/>
        <v>75725</v>
      </c>
      <c r="M81" s="44">
        <f t="shared" si="24"/>
        <v>83431</v>
      </c>
      <c r="N81" s="71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</row>
    <row r="82" spans="1:41" s="29" customFormat="1" ht="18" hidden="1" x14ac:dyDescent="0.25">
      <c r="A82" s="72">
        <v>2010</v>
      </c>
      <c r="B82" s="44">
        <v>6839</v>
      </c>
      <c r="C82" s="44">
        <f t="shared" ref="C82:M82" si="25">B82+C38</f>
        <v>13106</v>
      </c>
      <c r="D82" s="44">
        <f t="shared" si="25"/>
        <v>21062</v>
      </c>
      <c r="E82" s="44">
        <f t="shared" si="25"/>
        <v>28628</v>
      </c>
      <c r="F82" s="44">
        <f t="shared" si="25"/>
        <v>35643</v>
      </c>
      <c r="G82" s="44">
        <f t="shared" si="25"/>
        <v>44003</v>
      </c>
      <c r="H82" s="44">
        <f t="shared" si="25"/>
        <v>51013</v>
      </c>
      <c r="I82" s="44">
        <f t="shared" si="25"/>
        <v>59123</v>
      </c>
      <c r="J82" s="44">
        <f t="shared" si="25"/>
        <v>67514</v>
      </c>
      <c r="K82" s="44">
        <f t="shared" si="25"/>
        <v>76426</v>
      </c>
      <c r="L82" s="44">
        <f t="shared" si="25"/>
        <v>85799</v>
      </c>
      <c r="M82" s="44">
        <f t="shared" si="25"/>
        <v>94688</v>
      </c>
      <c r="N82" s="6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</row>
    <row r="83" spans="1:41" s="29" customFormat="1" ht="18" hidden="1" x14ac:dyDescent="0.25">
      <c r="A83" s="72">
        <v>2009</v>
      </c>
      <c r="B83" s="44">
        <f>B39</f>
        <v>7320</v>
      </c>
      <c r="C83" s="44">
        <f t="shared" ref="C83:M83" si="26">B83+C39</f>
        <v>15600</v>
      </c>
      <c r="D83" s="44">
        <f t="shared" si="26"/>
        <v>25281</v>
      </c>
      <c r="E83" s="44">
        <f t="shared" si="26"/>
        <v>35708</v>
      </c>
      <c r="F83" s="44">
        <f t="shared" si="26"/>
        <v>45766</v>
      </c>
      <c r="G83" s="44">
        <f t="shared" si="26"/>
        <v>57052</v>
      </c>
      <c r="H83" s="44">
        <f t="shared" si="26"/>
        <v>67466</v>
      </c>
      <c r="I83" s="44">
        <f t="shared" si="26"/>
        <v>75567</v>
      </c>
      <c r="J83" s="44">
        <f t="shared" si="26"/>
        <v>83326</v>
      </c>
      <c r="K83" s="44">
        <f t="shared" si="26"/>
        <v>91438</v>
      </c>
      <c r="L83" s="44">
        <f t="shared" si="26"/>
        <v>98754</v>
      </c>
      <c r="M83" s="44">
        <f t="shared" si="26"/>
        <v>107180</v>
      </c>
      <c r="N83" s="6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</row>
    <row r="84" spans="1:41" s="29" customFormat="1" ht="18" hidden="1" x14ac:dyDescent="0.25">
      <c r="A84" s="72">
        <v>2008</v>
      </c>
      <c r="B84" s="44">
        <v>8537</v>
      </c>
      <c r="C84" s="44">
        <f t="shared" ref="C84:M84" si="27">B84+C40</f>
        <v>18416</v>
      </c>
      <c r="D84" s="44">
        <f t="shared" si="27"/>
        <v>29245</v>
      </c>
      <c r="E84" s="44">
        <f t="shared" si="27"/>
        <v>40310</v>
      </c>
      <c r="F84" s="44">
        <f t="shared" si="27"/>
        <v>49973</v>
      </c>
      <c r="G84" s="44">
        <f t="shared" si="27"/>
        <v>59109</v>
      </c>
      <c r="H84" s="44">
        <f t="shared" si="27"/>
        <v>67958</v>
      </c>
      <c r="I84" s="44">
        <f t="shared" si="27"/>
        <v>76462</v>
      </c>
      <c r="J84" s="44">
        <f t="shared" si="27"/>
        <v>84313</v>
      </c>
      <c r="K84" s="44">
        <f t="shared" si="27"/>
        <v>92119</v>
      </c>
      <c r="L84" s="44">
        <f t="shared" si="27"/>
        <v>98391</v>
      </c>
      <c r="M84" s="44">
        <f t="shared" si="27"/>
        <v>104844</v>
      </c>
      <c r="N84" s="6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</row>
    <row r="85" spans="1:41" s="29" customFormat="1" ht="18" hidden="1" x14ac:dyDescent="0.25">
      <c r="A85" s="72">
        <v>2007</v>
      </c>
      <c r="B85" s="44">
        <v>12071</v>
      </c>
      <c r="C85" s="44">
        <f t="shared" ref="C85:M85" si="28">B85+C41</f>
        <v>23077</v>
      </c>
      <c r="D85" s="44">
        <f t="shared" si="28"/>
        <v>36318</v>
      </c>
      <c r="E85" s="44">
        <f t="shared" si="28"/>
        <v>48556</v>
      </c>
      <c r="F85" s="44">
        <f t="shared" si="28"/>
        <v>61240</v>
      </c>
      <c r="G85" s="44">
        <f t="shared" si="28"/>
        <v>74540</v>
      </c>
      <c r="H85" s="44">
        <f t="shared" si="28"/>
        <v>85881</v>
      </c>
      <c r="I85" s="44">
        <f t="shared" si="28"/>
        <v>98528</v>
      </c>
      <c r="J85" s="44">
        <f t="shared" si="28"/>
        <v>107998</v>
      </c>
      <c r="K85" s="44">
        <f t="shared" si="28"/>
        <v>118492</v>
      </c>
      <c r="L85" s="44">
        <f t="shared" si="28"/>
        <v>127410</v>
      </c>
      <c r="M85" s="44">
        <f t="shared" si="28"/>
        <v>136325</v>
      </c>
      <c r="N85" s="6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1:41" s="39" customFormat="1" ht="18" hidden="1" x14ac:dyDescent="0.25">
      <c r="A86" s="80">
        <v>2006</v>
      </c>
      <c r="B86" s="44">
        <f>B42</f>
        <v>13476</v>
      </c>
      <c r="C86" s="44">
        <f t="shared" ref="C86:M86" si="29">B86+C42</f>
        <v>25177</v>
      </c>
      <c r="D86" s="44">
        <f t="shared" si="29"/>
        <v>40142</v>
      </c>
      <c r="E86" s="44">
        <f t="shared" si="29"/>
        <v>54581</v>
      </c>
      <c r="F86" s="44">
        <f t="shared" si="29"/>
        <v>69465</v>
      </c>
      <c r="G86" s="44">
        <f t="shared" si="29"/>
        <v>83352</v>
      </c>
      <c r="H86" s="44">
        <f t="shared" si="29"/>
        <v>95918</v>
      </c>
      <c r="I86" s="44">
        <f t="shared" si="29"/>
        <v>109256</v>
      </c>
      <c r="J86" s="44">
        <f t="shared" si="29"/>
        <v>121342</v>
      </c>
      <c r="K86" s="44">
        <f t="shared" si="29"/>
        <v>133838</v>
      </c>
      <c r="L86" s="44">
        <f t="shared" si="29"/>
        <v>145661</v>
      </c>
      <c r="M86" s="44">
        <f t="shared" si="29"/>
        <v>158521</v>
      </c>
      <c r="N86" s="68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</row>
    <row r="87" spans="1:41" s="29" customFormat="1" ht="18" hidden="1" x14ac:dyDescent="0.25">
      <c r="A87" s="80">
        <v>2005</v>
      </c>
      <c r="B87" s="44">
        <f>B43</f>
        <v>12124</v>
      </c>
      <c r="C87" s="44">
        <f t="shared" ref="C87:M87" si="30">C43+B87</f>
        <v>23521</v>
      </c>
      <c r="D87" s="44">
        <f t="shared" si="30"/>
        <v>38421</v>
      </c>
      <c r="E87" s="44">
        <f t="shared" si="30"/>
        <v>51905</v>
      </c>
      <c r="F87" s="44">
        <f t="shared" si="30"/>
        <v>66101</v>
      </c>
      <c r="G87" s="44">
        <f t="shared" si="30"/>
        <v>81129</v>
      </c>
      <c r="H87" s="44">
        <f t="shared" si="30"/>
        <v>95834</v>
      </c>
      <c r="I87" s="44">
        <f t="shared" si="30"/>
        <v>111888</v>
      </c>
      <c r="J87" s="44">
        <f t="shared" si="30"/>
        <v>127338</v>
      </c>
      <c r="K87" s="44">
        <f t="shared" si="30"/>
        <v>142661</v>
      </c>
      <c r="L87" s="44">
        <f t="shared" si="30"/>
        <v>157802</v>
      </c>
      <c r="M87" s="44">
        <f t="shared" si="30"/>
        <v>172444</v>
      </c>
      <c r="N87" s="71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1:41" s="29" customFormat="1" ht="18" hidden="1" x14ac:dyDescent="0.25">
      <c r="A88" s="80">
        <v>2004</v>
      </c>
      <c r="B88" s="33">
        <f>B44</f>
        <v>9252</v>
      </c>
      <c r="C88" s="66">
        <f t="shared" ref="C88:M88" si="31">B88+C44</f>
        <v>19814</v>
      </c>
      <c r="D88" s="66">
        <f t="shared" si="31"/>
        <v>33653</v>
      </c>
      <c r="E88" s="66">
        <f t="shared" si="31"/>
        <v>46845</v>
      </c>
      <c r="F88" s="66">
        <f t="shared" si="31"/>
        <v>59581</v>
      </c>
      <c r="G88" s="66">
        <f t="shared" si="31"/>
        <v>73630</v>
      </c>
      <c r="H88" s="66">
        <f t="shared" si="31"/>
        <v>86308</v>
      </c>
      <c r="I88" s="66">
        <f t="shared" si="31"/>
        <v>99335</v>
      </c>
      <c r="J88" s="66">
        <f t="shared" si="31"/>
        <v>111551</v>
      </c>
      <c r="K88" s="66">
        <f t="shared" si="31"/>
        <v>123300</v>
      </c>
      <c r="L88" s="66">
        <f t="shared" si="31"/>
        <v>136029</v>
      </c>
      <c r="M88" s="66">
        <f t="shared" si="31"/>
        <v>149040</v>
      </c>
      <c r="N88" s="6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1:41" s="29" customFormat="1" ht="18" hidden="1" x14ac:dyDescent="0.25">
      <c r="A89" s="80">
        <v>2003</v>
      </c>
      <c r="B89" s="33">
        <f>B45</f>
        <v>14736</v>
      </c>
      <c r="C89" s="66">
        <f t="shared" ref="C89:M89" si="32">B89+C45</f>
        <v>29312</v>
      </c>
      <c r="D89" s="66">
        <f t="shared" si="32"/>
        <v>45882</v>
      </c>
      <c r="E89" s="66">
        <f t="shared" si="32"/>
        <v>63484</v>
      </c>
      <c r="F89" s="66">
        <f t="shared" si="32"/>
        <v>80394</v>
      </c>
      <c r="G89" s="66">
        <f t="shared" si="32"/>
        <v>98738</v>
      </c>
      <c r="H89" s="66">
        <f t="shared" si="32"/>
        <v>118829</v>
      </c>
      <c r="I89" s="66">
        <f t="shared" si="32"/>
        <v>138819</v>
      </c>
      <c r="J89" s="66">
        <f t="shared" si="32"/>
        <v>157367</v>
      </c>
      <c r="K89" s="66">
        <f t="shared" si="32"/>
        <v>176669</v>
      </c>
      <c r="L89" s="66">
        <f t="shared" si="32"/>
        <v>189842</v>
      </c>
      <c r="M89" s="66">
        <f t="shared" si="32"/>
        <v>202983</v>
      </c>
      <c r="N89" s="6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1:41" s="29" customFormat="1" ht="18" hidden="1" x14ac:dyDescent="0.25">
      <c r="A90" s="80">
        <v>2002</v>
      </c>
      <c r="B90" s="44">
        <v>12028</v>
      </c>
      <c r="C90" s="68">
        <f>SUM($B46:C46)</f>
        <v>24902</v>
      </c>
      <c r="D90" s="68">
        <f>SUM($B46:D46)</f>
        <v>38213</v>
      </c>
      <c r="E90" s="68">
        <f>SUM($B46:E46)</f>
        <v>51529</v>
      </c>
      <c r="F90" s="68">
        <f>SUM($B46:F46)</f>
        <v>65469</v>
      </c>
      <c r="G90" s="68">
        <f>SUM($B46:G46)</f>
        <v>77944</v>
      </c>
      <c r="H90" s="68">
        <f>SUM($B46:H46)</f>
        <v>90684</v>
      </c>
      <c r="I90" s="68">
        <f>SUM($B46:I46)</f>
        <v>103298</v>
      </c>
      <c r="J90" s="68">
        <f>SUM($B46:J46)</f>
        <v>116299</v>
      </c>
      <c r="K90" s="68">
        <f>SUM($B46:K46)</f>
        <v>132855</v>
      </c>
      <c r="L90" s="68">
        <f>SUM($B46:L46)</f>
        <v>147982</v>
      </c>
      <c r="M90" s="68">
        <f>SUM($B46:M46)</f>
        <v>165725</v>
      </c>
      <c r="N90" s="6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1:41" s="29" customFormat="1" ht="18" hidden="1" x14ac:dyDescent="0.25">
      <c r="A91" s="80">
        <v>2001</v>
      </c>
      <c r="B91" s="44">
        <v>7569</v>
      </c>
      <c r="C91" s="68">
        <f>SUM($B47:C47)</f>
        <v>15314</v>
      </c>
      <c r="D91" s="68">
        <f>SUM($B47:D47)</f>
        <v>25528</v>
      </c>
      <c r="E91" s="68">
        <f>SUM($B47:E47)</f>
        <v>36189</v>
      </c>
      <c r="F91" s="68">
        <f>SUM($B47:F47)</f>
        <v>48339</v>
      </c>
      <c r="G91" s="68">
        <f>SUM($B47:G47)</f>
        <v>60232</v>
      </c>
      <c r="H91" s="68">
        <f>SUM($B47:H47)</f>
        <v>71815</v>
      </c>
      <c r="I91" s="68">
        <f>SUM($B47:I47)</f>
        <v>84436</v>
      </c>
      <c r="J91" s="68">
        <f>SUM($B47:J47)</f>
        <v>94582</v>
      </c>
      <c r="K91" s="68">
        <f>SUM($B47:K47)</f>
        <v>107004</v>
      </c>
      <c r="L91" s="68">
        <f>SUM($B47:L47)</f>
        <v>119012</v>
      </c>
      <c r="M91" s="68">
        <f>SUM($B47:M47)</f>
        <v>131258</v>
      </c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1:41" s="29" customFormat="1" ht="18" hidden="1" x14ac:dyDescent="0.25">
      <c r="A92" s="80">
        <v>2000</v>
      </c>
      <c r="B92" s="44">
        <v>7463</v>
      </c>
      <c r="C92" s="68">
        <f>SUM($B48:C48)</f>
        <v>14354</v>
      </c>
      <c r="D92" s="68">
        <f>SUM($B48:D48)</f>
        <v>23751</v>
      </c>
      <c r="E92" s="68">
        <f>SUM($B48:E48)</f>
        <v>31324</v>
      </c>
      <c r="F92" s="68">
        <f>SUM($B48:F48)</f>
        <v>39489</v>
      </c>
      <c r="G92" s="68">
        <f>SUM($B48:G48)</f>
        <v>48649</v>
      </c>
      <c r="H92" s="68">
        <f>SUM($B48:H48)</f>
        <v>55651</v>
      </c>
      <c r="I92" s="68">
        <f>SUM($B48:I48)</f>
        <v>64685</v>
      </c>
      <c r="J92" s="68">
        <f>SUM($B48:J48)</f>
        <v>72438</v>
      </c>
      <c r="K92" s="68">
        <f>SUM($B48:K48)</f>
        <v>80708</v>
      </c>
      <c r="L92" s="68">
        <f>SUM($B48:L48)</f>
        <v>88823</v>
      </c>
      <c r="M92" s="68">
        <f>SUM($B48:M48)</f>
        <v>96319</v>
      </c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  <row r="93" spans="1:41" s="29" customFormat="1" ht="18" hidden="1" x14ac:dyDescent="0.25">
      <c r="A93" s="80">
        <v>1999</v>
      </c>
      <c r="B93" s="68">
        <v>11072</v>
      </c>
      <c r="C93" s="68">
        <f>SUM($B49:C49)</f>
        <v>23295</v>
      </c>
      <c r="D93" s="68">
        <f>SUM($B49:D49)</f>
        <v>36727</v>
      </c>
      <c r="E93" s="68">
        <f>SUM($B49:E49)</f>
        <v>49779</v>
      </c>
      <c r="F93" s="68">
        <f>SUM($B49:F49)</f>
        <v>61620</v>
      </c>
      <c r="G93" s="68">
        <f>SUM($B49:G49)</f>
        <v>72827</v>
      </c>
      <c r="H93" s="68">
        <f>SUM($B49:H49)</f>
        <v>83596</v>
      </c>
      <c r="I93" s="68">
        <f>SUM($B49:I49)</f>
        <v>93731</v>
      </c>
      <c r="J93" s="68">
        <f>SUM($B49:J49)</f>
        <v>102307</v>
      </c>
      <c r="K93" s="68">
        <f>SUM($B49:K49)</f>
        <v>110650</v>
      </c>
      <c r="L93" s="68">
        <f>SUM($B49:L49)</f>
        <v>119519</v>
      </c>
      <c r="M93" s="68">
        <f>SUM($B49:M49)</f>
        <v>128441</v>
      </c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</row>
    <row r="94" spans="1:41" s="29" customFormat="1" ht="18" hidden="1" x14ac:dyDescent="0.25">
      <c r="A94" s="80">
        <v>1998</v>
      </c>
      <c r="B94" s="68">
        <v>7923</v>
      </c>
      <c r="C94" s="68">
        <f t="shared" ref="C94:M94" si="33">+B94+C50</f>
        <v>16642</v>
      </c>
      <c r="D94" s="68">
        <f t="shared" si="33"/>
        <v>27482</v>
      </c>
      <c r="E94" s="68">
        <f t="shared" si="33"/>
        <v>37704</v>
      </c>
      <c r="F94" s="68">
        <f t="shared" si="33"/>
        <v>47528</v>
      </c>
      <c r="G94" s="68">
        <f t="shared" si="33"/>
        <v>58899</v>
      </c>
      <c r="H94" s="68">
        <f t="shared" si="33"/>
        <v>70320</v>
      </c>
      <c r="I94" s="68">
        <f t="shared" si="33"/>
        <v>81684</v>
      </c>
      <c r="J94" s="68">
        <f t="shared" si="33"/>
        <v>92393</v>
      </c>
      <c r="K94" s="68">
        <f t="shared" si="33"/>
        <v>103459</v>
      </c>
      <c r="L94" s="68">
        <f t="shared" si="33"/>
        <v>115177</v>
      </c>
      <c r="M94" s="68">
        <f t="shared" si="33"/>
        <v>128242</v>
      </c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</row>
    <row r="95" spans="1:41" s="29" customFormat="1" ht="18" hidden="1" x14ac:dyDescent="0.25">
      <c r="A95" s="47">
        <v>1997</v>
      </c>
      <c r="B95" s="68">
        <f>B51</f>
        <v>5259</v>
      </c>
      <c r="C95" s="68">
        <f t="shared" ref="C95:M95" si="34">+B95+C51</f>
        <v>10819</v>
      </c>
      <c r="D95" s="68">
        <f t="shared" si="34"/>
        <v>18191</v>
      </c>
      <c r="E95" s="68">
        <f t="shared" si="34"/>
        <v>25752</v>
      </c>
      <c r="F95" s="68">
        <f t="shared" si="34"/>
        <v>33349</v>
      </c>
      <c r="G95" s="68">
        <f t="shared" si="34"/>
        <v>40956</v>
      </c>
      <c r="H95" s="68">
        <f t="shared" si="34"/>
        <v>49364</v>
      </c>
      <c r="I95" s="68">
        <f t="shared" si="34"/>
        <v>57267</v>
      </c>
      <c r="J95" s="68">
        <f t="shared" si="34"/>
        <v>65933</v>
      </c>
      <c r="K95" s="68">
        <f t="shared" si="34"/>
        <v>74398</v>
      </c>
      <c r="L95" s="68">
        <f t="shared" si="34"/>
        <v>81071</v>
      </c>
      <c r="M95" s="68">
        <f t="shared" si="34"/>
        <v>89926</v>
      </c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</row>
    <row r="96" spans="1:41" s="29" customFormat="1" ht="18" hidden="1" x14ac:dyDescent="0.25">
      <c r="A96" s="47" t="s">
        <v>81</v>
      </c>
      <c r="B96" s="68">
        <f>B52</f>
        <v>7540</v>
      </c>
      <c r="C96" s="68">
        <f t="shared" ref="C96:M96" si="35">+B96+C52</f>
        <v>14453</v>
      </c>
      <c r="D96" s="68">
        <f t="shared" si="35"/>
        <v>22933</v>
      </c>
      <c r="E96" s="68">
        <f t="shared" si="35"/>
        <v>31721</v>
      </c>
      <c r="F96" s="68">
        <f t="shared" si="35"/>
        <v>40041</v>
      </c>
      <c r="G96" s="68">
        <f t="shared" si="35"/>
        <v>48537</v>
      </c>
      <c r="H96" s="68">
        <f t="shared" si="35"/>
        <v>56549</v>
      </c>
      <c r="I96" s="68">
        <f t="shared" si="35"/>
        <v>64631</v>
      </c>
      <c r="J96" s="68">
        <f t="shared" si="35"/>
        <v>72178</v>
      </c>
      <c r="K96" s="68">
        <f t="shared" si="35"/>
        <v>80482</v>
      </c>
      <c r="L96" s="68">
        <f t="shared" si="35"/>
        <v>87009</v>
      </c>
      <c r="M96" s="68">
        <f t="shared" si="35"/>
        <v>95569</v>
      </c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</row>
    <row r="97" spans="1:41" s="29" customFormat="1" ht="18" hidden="1" x14ac:dyDescent="0.25">
      <c r="A97" s="47" t="s">
        <v>80</v>
      </c>
      <c r="B97" s="68">
        <f>B53</f>
        <v>6260</v>
      </c>
      <c r="C97" s="68">
        <f t="shared" ref="C97:M97" si="36">+B97+C53</f>
        <v>11654</v>
      </c>
      <c r="D97" s="68">
        <f t="shared" si="36"/>
        <v>18460</v>
      </c>
      <c r="E97" s="68">
        <f t="shared" si="36"/>
        <v>24650</v>
      </c>
      <c r="F97" s="68">
        <f t="shared" si="36"/>
        <v>31784</v>
      </c>
      <c r="G97" s="68">
        <f t="shared" si="36"/>
        <v>38207</v>
      </c>
      <c r="H97" s="68">
        <f t="shared" si="36"/>
        <v>44603</v>
      </c>
      <c r="I97" s="68">
        <f t="shared" si="36"/>
        <v>52656</v>
      </c>
      <c r="J97" s="68">
        <f t="shared" si="36"/>
        <v>59731</v>
      </c>
      <c r="K97" s="68">
        <f t="shared" si="36"/>
        <v>67655</v>
      </c>
      <c r="L97" s="68">
        <f t="shared" si="36"/>
        <v>74995</v>
      </c>
      <c r="M97" s="68">
        <f t="shared" si="36"/>
        <v>82874</v>
      </c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</row>
    <row r="98" spans="1:41" s="29" customFormat="1" ht="18" hidden="1" customHeight="1" x14ac:dyDescent="0.25">
      <c r="A98" s="47" t="s">
        <v>7</v>
      </c>
      <c r="B98" s="68">
        <f>B54</f>
        <v>10204</v>
      </c>
      <c r="C98" s="68">
        <f t="shared" ref="C98:M98" si="37">+B98+C54</f>
        <v>19251</v>
      </c>
      <c r="D98" s="68">
        <f t="shared" si="37"/>
        <v>30839</v>
      </c>
      <c r="E98" s="68">
        <f t="shared" si="37"/>
        <v>40466</v>
      </c>
      <c r="F98" s="68">
        <f t="shared" si="37"/>
        <v>49821</v>
      </c>
      <c r="G98" s="68">
        <f t="shared" si="37"/>
        <v>58617</v>
      </c>
      <c r="H98" s="68">
        <f t="shared" si="37"/>
        <v>70606</v>
      </c>
      <c r="I98" s="68">
        <f t="shared" si="37"/>
        <v>79090</v>
      </c>
      <c r="J98" s="68">
        <f t="shared" si="37"/>
        <v>86818</v>
      </c>
      <c r="K98" s="68">
        <f t="shared" si="37"/>
        <v>94422</v>
      </c>
      <c r="L98" s="68">
        <f t="shared" si="37"/>
        <v>101259</v>
      </c>
      <c r="M98" s="68">
        <f t="shared" si="37"/>
        <v>108535</v>
      </c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</row>
    <row r="99" spans="1:41" s="29" customFormat="1" ht="18" hidden="1" x14ac:dyDescent="0.25">
      <c r="A99" s="47">
        <v>1993</v>
      </c>
      <c r="B99" s="68">
        <f>B55</f>
        <v>8075</v>
      </c>
      <c r="C99" s="68">
        <f t="shared" ref="C99:M99" si="38">+B99+C55</f>
        <v>14529</v>
      </c>
      <c r="D99" s="68">
        <f t="shared" si="38"/>
        <v>22223</v>
      </c>
      <c r="E99" s="68">
        <f t="shared" si="38"/>
        <v>29426</v>
      </c>
      <c r="F99" s="68">
        <f t="shared" si="38"/>
        <v>36937</v>
      </c>
      <c r="G99" s="68">
        <f t="shared" si="38"/>
        <v>45942</v>
      </c>
      <c r="H99" s="68">
        <f t="shared" si="38"/>
        <v>53959</v>
      </c>
      <c r="I99" s="68">
        <f t="shared" si="38"/>
        <v>62215</v>
      </c>
      <c r="J99" s="68">
        <f t="shared" si="38"/>
        <v>70760</v>
      </c>
      <c r="K99" s="68">
        <f t="shared" si="38"/>
        <v>79898</v>
      </c>
      <c r="L99" s="68">
        <f t="shared" si="38"/>
        <v>88649</v>
      </c>
      <c r="M99" s="68">
        <f t="shared" si="38"/>
        <v>99902</v>
      </c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</row>
    <row r="100" spans="1:41" s="29" customFormat="1" ht="18" x14ac:dyDescent="0.25">
      <c r="A100" s="80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</row>
    <row r="101" spans="1:41" s="39" customFormat="1" ht="18" x14ac:dyDescent="0.25">
      <c r="A101" s="67" t="s">
        <v>154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48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</row>
    <row r="102" spans="1:41" s="39" customFormat="1" ht="18" x14ac:dyDescent="0.25">
      <c r="A102" s="36">
        <v>2020</v>
      </c>
      <c r="B102" s="53">
        <f t="shared" ref="B102:B107" si="39">B28/B29-1</f>
        <v>0.50334011036886439</v>
      </c>
      <c r="C102" s="53">
        <f t="shared" ref="C102:M103" si="40">C28/C29-1</f>
        <v>0.44452864504395273</v>
      </c>
      <c r="D102" s="53">
        <f t="shared" si="40"/>
        <v>0.4543084522502745</v>
      </c>
      <c r="E102" s="53">
        <f t="shared" si="40"/>
        <v>0.29717154401861157</v>
      </c>
      <c r="F102" s="53">
        <f t="shared" si="40"/>
        <v>0.18272315009401607</v>
      </c>
      <c r="G102" s="53">
        <f t="shared" si="40"/>
        <v>0.5689771197846567</v>
      </c>
      <c r="H102" s="53">
        <v>0.5689771197846567</v>
      </c>
      <c r="I102" s="53">
        <v>0.5689771197846567</v>
      </c>
      <c r="J102" s="53"/>
      <c r="K102" s="53"/>
      <c r="L102" s="53"/>
      <c r="M102" s="53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</row>
    <row r="103" spans="1:41" s="29" customFormat="1" ht="18" x14ac:dyDescent="0.25">
      <c r="A103" s="76">
        <v>2019</v>
      </c>
      <c r="B103" s="55">
        <f t="shared" si="39"/>
        <v>-0.21230839624799813</v>
      </c>
      <c r="C103" s="55">
        <f t="shared" si="40"/>
        <v>-0.13149927603001188</v>
      </c>
      <c r="D103" s="55">
        <f t="shared" si="40"/>
        <v>-0.19058196357174584</v>
      </c>
      <c r="E103" s="55">
        <f t="shared" si="40"/>
        <v>-2.2267448820782909E-2</v>
      </c>
      <c r="F103" s="55">
        <f t="shared" si="40"/>
        <v>-5.0621767359965153E-3</v>
      </c>
      <c r="G103" s="55">
        <f t="shared" si="40"/>
        <v>7.6031860970311449E-2</v>
      </c>
      <c r="H103" s="55">
        <f t="shared" si="40"/>
        <v>0.11910698096101546</v>
      </c>
      <c r="I103" s="55">
        <f t="shared" si="40"/>
        <v>0.18869574723953209</v>
      </c>
      <c r="J103" s="55">
        <f t="shared" si="40"/>
        <v>0.49622766379880878</v>
      </c>
      <c r="K103" s="55">
        <f t="shared" si="40"/>
        <v>0.40170535291331122</v>
      </c>
      <c r="L103" s="55">
        <f t="shared" si="40"/>
        <v>0.37506702412868642</v>
      </c>
      <c r="M103" s="55">
        <f t="shared" si="40"/>
        <v>0.562881732370905</v>
      </c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</row>
    <row r="104" spans="1:41" s="29" customFormat="1" ht="18" x14ac:dyDescent="0.25">
      <c r="A104" s="76">
        <v>2018</v>
      </c>
      <c r="B104" s="55">
        <f t="shared" si="39"/>
        <v>-0.11723720084822786</v>
      </c>
      <c r="C104" s="55">
        <f t="shared" ref="C104:M104" si="41">C30/C31-1</f>
        <v>-0.11498136067101583</v>
      </c>
      <c r="D104" s="55">
        <f t="shared" si="41"/>
        <v>-3.7725766805600136E-2</v>
      </c>
      <c r="E104" s="55">
        <f t="shared" si="41"/>
        <v>1.2116806009935699E-2</v>
      </c>
      <c r="F104" s="55">
        <f t="shared" si="41"/>
        <v>-9.7437425506555431E-2</v>
      </c>
      <c r="G104" s="55">
        <f t="shared" si="41"/>
        <v>-0.17519410710730643</v>
      </c>
      <c r="H104" s="55">
        <f t="shared" si="41"/>
        <v>-2.5403136735144716E-2</v>
      </c>
      <c r="I104" s="55">
        <f t="shared" si="41"/>
        <v>-0.1169144622513999</v>
      </c>
      <c r="J104" s="55">
        <f t="shared" si="41"/>
        <v>-0.17223622219787449</v>
      </c>
      <c r="K104" s="55">
        <f t="shared" si="41"/>
        <v>-0.15770573566084789</v>
      </c>
      <c r="L104" s="55">
        <f t="shared" si="41"/>
        <v>-0.20401195049082377</v>
      </c>
      <c r="M104" s="55">
        <f t="shared" si="41"/>
        <v>-0.15465853086130021</v>
      </c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</row>
    <row r="105" spans="1:41" s="39" customFormat="1" ht="18" x14ac:dyDescent="0.25">
      <c r="A105" s="76">
        <v>2017</v>
      </c>
      <c r="B105" s="55">
        <f t="shared" si="39"/>
        <v>0.21315692760014704</v>
      </c>
      <c r="C105" s="55">
        <f t="shared" ref="C105:M105" si="42">C31/C32-1</f>
        <v>7.0724709991268453E-2</v>
      </c>
      <c r="D105" s="55">
        <f t="shared" si="42"/>
        <v>-2.7035458043048743E-2</v>
      </c>
      <c r="E105" s="55">
        <f t="shared" si="42"/>
        <v>-0.10488069414316703</v>
      </c>
      <c r="F105" s="55">
        <f t="shared" si="42"/>
        <v>4.4073421134501745E-2</v>
      </c>
      <c r="G105" s="55">
        <f t="shared" si="42"/>
        <v>-5.8393476427031632E-2</v>
      </c>
      <c r="H105" s="55">
        <f t="shared" si="42"/>
        <v>-7.5367647058823484E-2</v>
      </c>
      <c r="I105" s="55">
        <f t="shared" si="42"/>
        <v>-9.2915316577633744E-2</v>
      </c>
      <c r="J105" s="55">
        <f t="shared" si="42"/>
        <v>-0.12543119969336913</v>
      </c>
      <c r="K105" s="55">
        <f t="shared" si="42"/>
        <v>-8.1034008616738484E-2</v>
      </c>
      <c r="L105" s="55">
        <f t="shared" si="42"/>
        <v>-9.9711815561959627E-2</v>
      </c>
      <c r="M105" s="55">
        <f t="shared" si="42"/>
        <v>-0.22688923160664065</v>
      </c>
      <c r="N105" s="48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</row>
    <row r="106" spans="1:41" s="39" customFormat="1" ht="18" x14ac:dyDescent="0.25">
      <c r="A106" s="76">
        <v>2016</v>
      </c>
      <c r="B106" s="55">
        <f t="shared" si="39"/>
        <v>-6.107660455486541E-2</v>
      </c>
      <c r="C106" s="55">
        <f t="shared" ref="C106:M106" si="43">C32/C33-1</f>
        <v>-8.1672394043528107E-2</v>
      </c>
      <c r="D106" s="55">
        <f t="shared" si="43"/>
        <v>5.2879351872126223E-2</v>
      </c>
      <c r="E106" s="55">
        <f t="shared" si="43"/>
        <v>7.7604109738769189E-3</v>
      </c>
      <c r="F106" s="55">
        <f t="shared" si="43"/>
        <v>5.0779121717336784E-2</v>
      </c>
      <c r="G106" s="55">
        <f t="shared" si="43"/>
        <v>-1.9032732622287551E-2</v>
      </c>
      <c r="H106" s="55">
        <f t="shared" si="43"/>
        <v>-8.4175084175084125E-2</v>
      </c>
      <c r="I106" s="55">
        <f t="shared" si="43"/>
        <v>0.13294969739061413</v>
      </c>
      <c r="J106" s="55">
        <f t="shared" si="43"/>
        <v>0.12456896551724128</v>
      </c>
      <c r="K106" s="55">
        <f t="shared" si="43"/>
        <v>0.1651180177293603</v>
      </c>
      <c r="L106" s="55">
        <f t="shared" si="43"/>
        <v>0.24253998567677248</v>
      </c>
      <c r="M106" s="55">
        <f t="shared" si="43"/>
        <v>0.23993250843644542</v>
      </c>
      <c r="N106" s="48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</row>
    <row r="107" spans="1:41" s="29" customFormat="1" ht="18" hidden="1" x14ac:dyDescent="0.25">
      <c r="A107" s="80">
        <v>2015</v>
      </c>
      <c r="B107" s="57">
        <f t="shared" si="39"/>
        <v>0.38549800796812739</v>
      </c>
      <c r="C107" s="57">
        <f t="shared" ref="C107:M107" si="44">C33/C34-1</f>
        <v>0.59568634618899652</v>
      </c>
      <c r="D107" s="57">
        <f t="shared" si="44"/>
        <v>0.52972701390051924</v>
      </c>
      <c r="E107" s="57">
        <f t="shared" si="44"/>
        <v>0.34484786123768929</v>
      </c>
      <c r="F107" s="57">
        <f t="shared" si="44"/>
        <v>0.25919319429198673</v>
      </c>
      <c r="G107" s="57">
        <f t="shared" si="44"/>
        <v>0.43862433862433869</v>
      </c>
      <c r="H107" s="57">
        <f t="shared" si="44"/>
        <v>0.33549837621783651</v>
      </c>
      <c r="I107" s="57">
        <f t="shared" si="44"/>
        <v>0.30202816173620972</v>
      </c>
      <c r="J107" s="57">
        <f t="shared" si="44"/>
        <v>0.20363164721141369</v>
      </c>
      <c r="K107" s="57">
        <f t="shared" si="44"/>
        <v>9.0623179965055423E-2</v>
      </c>
      <c r="L107" s="57">
        <f t="shared" si="44"/>
        <v>0.11128796922668793</v>
      </c>
      <c r="M107" s="57">
        <f t="shared" si="44"/>
        <v>-5.8661584074544693E-2</v>
      </c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</row>
    <row r="108" spans="1:41" s="29" customFormat="1" ht="18" hidden="1" x14ac:dyDescent="0.25">
      <c r="A108" s="80">
        <v>2014</v>
      </c>
      <c r="B108" s="57">
        <f t="shared" ref="B108:M108" si="45">B34/B35-1</f>
        <v>-0.27254811036401572</v>
      </c>
      <c r="C108" s="57">
        <f t="shared" si="45"/>
        <v>-0.33901171922194029</v>
      </c>
      <c r="D108" s="57">
        <f t="shared" si="45"/>
        <v>-0.3762665830982973</v>
      </c>
      <c r="E108" s="57">
        <f t="shared" si="45"/>
        <v>-0.31772139203690708</v>
      </c>
      <c r="F108" s="57">
        <f t="shared" si="45"/>
        <v>-0.24492333195192706</v>
      </c>
      <c r="G108" s="57">
        <f t="shared" si="45"/>
        <v>-0.15065722952477245</v>
      </c>
      <c r="H108" s="57">
        <f t="shared" si="45"/>
        <v>-0.238901036220173</v>
      </c>
      <c r="I108" s="57">
        <f t="shared" si="45"/>
        <v>-0.17235111728857055</v>
      </c>
      <c r="J108" s="57">
        <f t="shared" si="45"/>
        <v>2.8823058446757477E-2</v>
      </c>
      <c r="K108" s="57">
        <f t="shared" si="45"/>
        <v>0.2060972183197527</v>
      </c>
      <c r="L108" s="57">
        <f t="shared" si="45"/>
        <v>0.2020089285714286</v>
      </c>
      <c r="M108" s="57">
        <f t="shared" si="45"/>
        <v>0.53760989905568213</v>
      </c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</row>
    <row r="109" spans="1:41" s="29" customFormat="1" ht="18" hidden="1" x14ac:dyDescent="0.25">
      <c r="A109" s="80">
        <v>2013</v>
      </c>
      <c r="B109" s="57">
        <f t="shared" ref="B109:M109" si="46">B35/B36-1</f>
        <v>0.28324903302588522</v>
      </c>
      <c r="C109" s="57">
        <f t="shared" si="46"/>
        <v>0.12215292841648595</v>
      </c>
      <c r="D109" s="57">
        <f t="shared" si="46"/>
        <v>0.16290087463556846</v>
      </c>
      <c r="E109" s="57">
        <f t="shared" si="46"/>
        <v>0.29241736876215163</v>
      </c>
      <c r="F109" s="57">
        <f t="shared" si="46"/>
        <v>0.15703668185087505</v>
      </c>
      <c r="G109" s="57">
        <f t="shared" si="46"/>
        <v>7.2409638554216782E-2</v>
      </c>
      <c r="H109" s="57">
        <f t="shared" si="46"/>
        <v>0.21789973370383242</v>
      </c>
      <c r="I109" s="57">
        <f t="shared" si="46"/>
        <v>-4.4637385086823245E-2</v>
      </c>
      <c r="J109" s="57">
        <f t="shared" si="46"/>
        <v>-1.1084718923198733E-2</v>
      </c>
      <c r="K109" s="57">
        <f t="shared" si="46"/>
        <v>-0.31491819056785375</v>
      </c>
      <c r="L109" s="57">
        <f t="shared" si="46"/>
        <v>-0.31363536878966947</v>
      </c>
      <c r="M109" s="57">
        <f t="shared" si="46"/>
        <v>-0.36253243383497669</v>
      </c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</row>
    <row r="110" spans="1:41" s="29" customFormat="1" ht="18" hidden="1" x14ac:dyDescent="0.25">
      <c r="A110" s="31">
        <v>2012</v>
      </c>
      <c r="B110" s="57">
        <f t="shared" ref="B110:M110" si="47">B36/B37-1</f>
        <v>-0.18972999035679849</v>
      </c>
      <c r="C110" s="57">
        <f t="shared" si="47"/>
        <v>0.10007457121551089</v>
      </c>
      <c r="D110" s="57">
        <f t="shared" si="47"/>
        <v>0.15634218289085555</v>
      </c>
      <c r="E110" s="57">
        <f t="shared" si="47"/>
        <v>0.24375302273093657</v>
      </c>
      <c r="F110" s="57">
        <f t="shared" si="47"/>
        <v>0.28377962449984606</v>
      </c>
      <c r="G110" s="57">
        <f t="shared" si="47"/>
        <v>0.22781065088757391</v>
      </c>
      <c r="H110" s="57">
        <f t="shared" si="47"/>
        <v>0.34721572297613479</v>
      </c>
      <c r="I110" s="57">
        <f t="shared" si="47"/>
        <v>0.41658226016495448</v>
      </c>
      <c r="J110" s="57">
        <f t="shared" si="47"/>
        <v>0.15167173252279631</v>
      </c>
      <c r="K110" s="57">
        <f t="shared" si="47"/>
        <v>0.44165394755099219</v>
      </c>
      <c r="L110" s="57">
        <f t="shared" si="47"/>
        <v>0.29893390191897651</v>
      </c>
      <c r="M110" s="57">
        <f t="shared" si="47"/>
        <v>0.25032442252790044</v>
      </c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</row>
    <row r="111" spans="1:41" s="29" customFormat="1" ht="18" hidden="1" x14ac:dyDescent="0.25">
      <c r="A111" s="80">
        <v>2011</v>
      </c>
      <c r="B111" s="57">
        <f t="shared" ref="B111:M111" si="48">B37/B38-1</f>
        <v>0.21304284252083638</v>
      </c>
      <c r="C111" s="57">
        <f t="shared" si="48"/>
        <v>6.9889899473432271E-2</v>
      </c>
      <c r="D111" s="57">
        <f t="shared" si="48"/>
        <v>-0.10520361990950222</v>
      </c>
      <c r="E111" s="57">
        <f t="shared" si="48"/>
        <v>-0.18014803066349461</v>
      </c>
      <c r="F111" s="57">
        <f t="shared" si="48"/>
        <v>-7.3699215965787546E-2</v>
      </c>
      <c r="G111" s="57">
        <f t="shared" si="48"/>
        <v>-0.19138755980861244</v>
      </c>
      <c r="H111" s="57">
        <f t="shared" si="48"/>
        <v>-8.5449358059914382E-2</v>
      </c>
      <c r="I111" s="57">
        <f t="shared" si="48"/>
        <v>-0.14784217016029588</v>
      </c>
      <c r="J111" s="57">
        <f t="shared" si="48"/>
        <v>-0.21582648075318789</v>
      </c>
      <c r="K111" s="57">
        <f t="shared" si="48"/>
        <v>-0.19131508078994619</v>
      </c>
      <c r="L111" s="57">
        <f t="shared" si="48"/>
        <v>-0.24943988050784172</v>
      </c>
      <c r="M111" s="57">
        <f t="shared" si="48"/>
        <v>-0.13308583642704463</v>
      </c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</row>
    <row r="112" spans="1:41" s="29" customFormat="1" ht="18" hidden="1" x14ac:dyDescent="0.25">
      <c r="A112" s="72">
        <v>2010</v>
      </c>
      <c r="B112" s="57">
        <f t="shared" ref="B112:M112" si="49">B38/B39-1</f>
        <v>-6.5710382513661236E-2</v>
      </c>
      <c r="C112" s="57">
        <f t="shared" si="49"/>
        <v>-0.24311594202898545</v>
      </c>
      <c r="D112" s="57">
        <f t="shared" si="49"/>
        <v>-0.17818407189339946</v>
      </c>
      <c r="E112" s="57">
        <f t="shared" si="49"/>
        <v>-0.27438381125923084</v>
      </c>
      <c r="F112" s="57">
        <f t="shared" si="49"/>
        <v>-0.30254523762179364</v>
      </c>
      <c r="G112" s="57">
        <f t="shared" si="49"/>
        <v>-0.2592592592592593</v>
      </c>
      <c r="H112" s="57">
        <f t="shared" si="49"/>
        <v>-0.32686767812560014</v>
      </c>
      <c r="I112" s="57">
        <f t="shared" si="49"/>
        <v>1.1109739538328611E-3</v>
      </c>
      <c r="J112" s="57">
        <f t="shared" si="49"/>
        <v>8.1453795592215439E-2</v>
      </c>
      <c r="K112" s="57">
        <f t="shared" si="49"/>
        <v>9.8619329388560217E-2</v>
      </c>
      <c r="L112" s="57">
        <f t="shared" si="49"/>
        <v>0.28116457080371782</v>
      </c>
      <c r="M112" s="57">
        <f t="shared" si="49"/>
        <v>5.4948967481604605E-2</v>
      </c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</row>
    <row r="113" spans="1:41" s="29" customFormat="1" ht="18" hidden="1" x14ac:dyDescent="0.25">
      <c r="A113" s="72">
        <v>2009</v>
      </c>
      <c r="B113" s="57">
        <f t="shared" ref="B113:M113" si="50">B39/B40-1</f>
        <v>-0.1425559329975401</v>
      </c>
      <c r="C113" s="57">
        <f t="shared" si="50"/>
        <v>-0.16185848770118438</v>
      </c>
      <c r="D113" s="57">
        <f t="shared" si="50"/>
        <v>-0.10601163542340009</v>
      </c>
      <c r="E113" s="57">
        <f t="shared" si="50"/>
        <v>-5.7659286037053725E-2</v>
      </c>
      <c r="F113" s="57">
        <f t="shared" si="50"/>
        <v>4.0877574252302651E-2</v>
      </c>
      <c r="G113" s="57">
        <f t="shared" si="50"/>
        <v>0.23533274956217154</v>
      </c>
      <c r="H113" s="57">
        <f t="shared" si="50"/>
        <v>0.1768561419369421</v>
      </c>
      <c r="I113" s="57">
        <f t="shared" si="50"/>
        <v>-4.7389463781749797E-2</v>
      </c>
      <c r="J113" s="57">
        <f t="shared" si="50"/>
        <v>-1.1718252451916933E-2</v>
      </c>
      <c r="K113" s="57">
        <f t="shared" si="50"/>
        <v>3.9200614911606424E-2</v>
      </c>
      <c r="L113" s="57">
        <f t="shared" si="50"/>
        <v>0.16645408163265296</v>
      </c>
      <c r="M113" s="57">
        <f t="shared" si="50"/>
        <v>0.30574926390825974</v>
      </c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</row>
    <row r="114" spans="1:41" s="29" customFormat="1" ht="19.5" hidden="1" customHeight="1" x14ac:dyDescent="0.25">
      <c r="A114" s="72">
        <v>2008</v>
      </c>
      <c r="B114" s="57">
        <f t="shared" ref="B114:M114" si="51">B40/B41-1</f>
        <v>-0.2927677905724464</v>
      </c>
      <c r="C114" s="57">
        <f t="shared" si="51"/>
        <v>-0.10239869162275128</v>
      </c>
      <c r="D114" s="57">
        <f t="shared" si="51"/>
        <v>-0.18216146816705692</v>
      </c>
      <c r="E114" s="57">
        <f t="shared" si="51"/>
        <v>-9.5848994933812715E-2</v>
      </c>
      <c r="F114" s="57">
        <f t="shared" si="51"/>
        <v>-0.23817407757805109</v>
      </c>
      <c r="G114" s="57">
        <f t="shared" si="51"/>
        <v>-0.3130827067669173</v>
      </c>
      <c r="H114" s="57">
        <f t="shared" si="51"/>
        <v>-0.2197337095494224</v>
      </c>
      <c r="I114" s="57">
        <f t="shared" si="51"/>
        <v>-0.32758757017474505</v>
      </c>
      <c r="J114" s="57">
        <f t="shared" si="51"/>
        <v>-0.17096092925026396</v>
      </c>
      <c r="K114" s="57">
        <f t="shared" si="51"/>
        <v>-0.25614636935391655</v>
      </c>
      <c r="L114" s="57">
        <f t="shared" si="51"/>
        <v>-0.29670329670329665</v>
      </c>
      <c r="M114" s="57">
        <f t="shared" si="51"/>
        <v>-0.2761637689287717</v>
      </c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</row>
    <row r="115" spans="1:41" s="29" customFormat="1" ht="18" hidden="1" x14ac:dyDescent="0.25">
      <c r="A115" s="72">
        <v>2007</v>
      </c>
      <c r="B115" s="57">
        <f t="shared" ref="B115:M115" si="52">B41/B42-1</f>
        <v>-0.10425942416147227</v>
      </c>
      <c r="C115" s="57">
        <f t="shared" si="52"/>
        <v>-5.9396632766430257E-2</v>
      </c>
      <c r="D115" s="57">
        <f t="shared" si="52"/>
        <v>-0.11520213832275306</v>
      </c>
      <c r="E115" s="57">
        <f t="shared" si="52"/>
        <v>-0.15243437911212687</v>
      </c>
      <c r="F115" s="57">
        <f t="shared" si="52"/>
        <v>-0.14780972856758934</v>
      </c>
      <c r="G115" s="57">
        <f t="shared" si="52"/>
        <v>-4.2269748685821229E-2</v>
      </c>
      <c r="H115" s="57">
        <f t="shared" si="52"/>
        <v>-9.7485277733566744E-2</v>
      </c>
      <c r="I115" s="57">
        <f t="shared" si="52"/>
        <v>-5.1806867596341233E-2</v>
      </c>
      <c r="J115" s="57">
        <f t="shared" si="52"/>
        <v>-0.21644878371669696</v>
      </c>
      <c r="K115" s="57">
        <f t="shared" si="52"/>
        <v>-0.16021126760563376</v>
      </c>
      <c r="L115" s="57">
        <f t="shared" si="52"/>
        <v>-0.24570751924215517</v>
      </c>
      <c r="M115" s="57">
        <f t="shared" si="52"/>
        <v>-0.30676516329704506</v>
      </c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</row>
    <row r="116" spans="1:41" s="29" customFormat="1" ht="18" hidden="1" x14ac:dyDescent="0.25">
      <c r="A116" s="76">
        <v>2006</v>
      </c>
      <c r="B116" s="57">
        <f t="shared" ref="B116:M116" si="53">B42/B43-1</f>
        <v>0.11151435169910928</v>
      </c>
      <c r="C116" s="57">
        <f t="shared" si="53"/>
        <v>2.6673686057734569E-2</v>
      </c>
      <c r="D116" s="57">
        <f t="shared" si="53"/>
        <v>4.3624161073825274E-3</v>
      </c>
      <c r="E116" s="57">
        <f t="shared" si="53"/>
        <v>7.0824681103530018E-2</v>
      </c>
      <c r="F116" s="57">
        <f t="shared" si="53"/>
        <v>4.8464356156663779E-2</v>
      </c>
      <c r="G116" s="57">
        <f t="shared" si="53"/>
        <v>-7.5924940111791295E-2</v>
      </c>
      <c r="H116" s="57">
        <f t="shared" si="53"/>
        <v>-0.14546072764365858</v>
      </c>
      <c r="I116" s="57">
        <f t="shared" si="53"/>
        <v>-0.16917902080478386</v>
      </c>
      <c r="J116" s="57">
        <f t="shared" si="53"/>
        <v>-0.21773462783171516</v>
      </c>
      <c r="K116" s="57">
        <f t="shared" si="53"/>
        <v>-0.18449389806173722</v>
      </c>
      <c r="L116" s="57">
        <f t="shared" si="53"/>
        <v>-0.21914008321775313</v>
      </c>
      <c r="M116" s="57">
        <f t="shared" si="53"/>
        <v>-0.12170468515230159</v>
      </c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</row>
    <row r="117" spans="1:41" s="39" customFormat="1" ht="18" x14ac:dyDescent="0.25">
      <c r="A117" s="76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75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</row>
    <row r="118" spans="1:41" s="29" customFormat="1" ht="18" x14ac:dyDescent="0.25">
      <c r="A118" s="67" t="s">
        <v>99</v>
      </c>
      <c r="B118" s="79"/>
      <c r="C118" s="44"/>
      <c r="D118" s="68"/>
      <c r="E118" s="68"/>
      <c r="F118" s="44"/>
      <c r="G118" s="44"/>
      <c r="H118" s="44"/>
      <c r="I118" s="44"/>
      <c r="J118" s="44"/>
      <c r="K118" s="44"/>
      <c r="L118" s="44"/>
      <c r="M118" s="44"/>
      <c r="N118" s="142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</row>
    <row r="119" spans="1:41" s="39" customFormat="1" ht="18" x14ac:dyDescent="0.25">
      <c r="A119" s="36">
        <v>2020</v>
      </c>
      <c r="B119" s="75">
        <f t="shared" ref="B119:M125" si="54">B72/B73-1</f>
        <v>0.50334011036886439</v>
      </c>
      <c r="C119" s="75">
        <f t="shared" si="54"/>
        <v>0.4745624443785228</v>
      </c>
      <c r="D119" s="75">
        <f t="shared" si="54"/>
        <v>0.4674561910263817</v>
      </c>
      <c r="E119" s="75">
        <f t="shared" si="54"/>
        <v>0.41939942637962613</v>
      </c>
      <c r="F119" s="75">
        <f t="shared" si="54"/>
        <v>0.36305950500263307</v>
      </c>
      <c r="G119" s="75">
        <f t="shared" si="54"/>
        <v>0.4022091436369839</v>
      </c>
      <c r="H119" s="75">
        <f t="shared" si="54"/>
        <v>0.42757746032305222</v>
      </c>
      <c r="I119" s="75">
        <f t="shared" si="54"/>
        <v>0.41347347880078056</v>
      </c>
      <c r="J119" s="75"/>
      <c r="K119" s="75"/>
      <c r="L119" s="75"/>
      <c r="M119" s="75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</row>
    <row r="120" spans="1:41" s="29" customFormat="1" ht="18" x14ac:dyDescent="0.25">
      <c r="A120" s="76">
        <v>2019</v>
      </c>
      <c r="B120" s="57">
        <f t="shared" si="54"/>
        <v>-0.21230839624799813</v>
      </c>
      <c r="C120" s="57">
        <f t="shared" si="54"/>
        <v>-0.17473529591774284</v>
      </c>
      <c r="D120" s="57">
        <f t="shared" si="54"/>
        <v>-0.18036538689184389</v>
      </c>
      <c r="E120" s="57">
        <f t="shared" si="54"/>
        <v>-0.14117402659069322</v>
      </c>
      <c r="F120" s="57">
        <f t="shared" si="54"/>
        <v>-0.11226421709557532</v>
      </c>
      <c r="G120" s="57">
        <f t="shared" si="54"/>
        <v>-8.1712976561123196E-2</v>
      </c>
      <c r="H120" s="57">
        <f t="shared" si="54"/>
        <v>-5.2126291887198861E-2</v>
      </c>
      <c r="I120" s="57">
        <f t="shared" si="54"/>
        <v>-2.0220162224797167E-2</v>
      </c>
      <c r="J120" s="57">
        <f t="shared" si="54"/>
        <v>3.072002088909187E-2</v>
      </c>
      <c r="K120" s="57">
        <f t="shared" si="54"/>
        <v>6.755723844353767E-2</v>
      </c>
      <c r="L120" s="57">
        <f t="shared" si="54"/>
        <v>9.2357755218975379E-2</v>
      </c>
      <c r="M120" s="57">
        <f t="shared" si="54"/>
        <v>0.12635527516724676</v>
      </c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</row>
    <row r="121" spans="1:41" s="29" customFormat="1" ht="18" x14ac:dyDescent="0.25">
      <c r="A121" s="76">
        <v>2018</v>
      </c>
      <c r="B121" s="57">
        <f t="shared" si="54"/>
        <v>-0.11723720084822786</v>
      </c>
      <c r="C121" s="57">
        <f t="shared" si="54"/>
        <v>-0.11618975496294692</v>
      </c>
      <c r="D121" s="57">
        <f t="shared" si="54"/>
        <v>-8.9821864674615726E-2</v>
      </c>
      <c r="E121" s="57">
        <f t="shared" si="54"/>
        <v>-6.6515222871706747E-2</v>
      </c>
      <c r="F121" s="57">
        <f t="shared" si="54"/>
        <v>-7.3258962417415807E-2</v>
      </c>
      <c r="G121" s="57">
        <f t="shared" si="54"/>
        <v>-9.1476757218338034E-2</v>
      </c>
      <c r="H121" s="57">
        <f t="shared" si="54"/>
        <v>-8.2310579943308038E-2</v>
      </c>
      <c r="I121" s="57">
        <f t="shared" si="54"/>
        <v>-8.7050236039300177E-2</v>
      </c>
      <c r="J121" s="57">
        <f t="shared" si="54"/>
        <v>-9.6224188790560494E-2</v>
      </c>
      <c r="K121" s="57">
        <f t="shared" si="54"/>
        <v>-0.1027275125296756</v>
      </c>
      <c r="L121" s="57">
        <f t="shared" si="54"/>
        <v>-0.11184191575369429</v>
      </c>
      <c r="M121" s="57">
        <f t="shared" si="54"/>
        <v>-0.11508045691361424</v>
      </c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</row>
    <row r="122" spans="1:41" s="29" customFormat="1" ht="18" x14ac:dyDescent="0.25">
      <c r="A122" s="76">
        <v>2017</v>
      </c>
      <c r="B122" s="57">
        <f t="shared" si="54"/>
        <v>0.21315692760014704</v>
      </c>
      <c r="C122" s="57">
        <f t="shared" si="54"/>
        <v>0.142583436341162</v>
      </c>
      <c r="D122" s="57">
        <f t="shared" si="54"/>
        <v>7.9350312051788885E-2</v>
      </c>
      <c r="E122" s="57">
        <f t="shared" si="54"/>
        <v>3.0842162378273308E-2</v>
      </c>
      <c r="F122" s="57">
        <f t="shared" si="54"/>
        <v>3.3699059561128619E-2</v>
      </c>
      <c r="G122" s="57">
        <f t="shared" si="54"/>
        <v>1.5941007428292631E-2</v>
      </c>
      <c r="H122" s="57">
        <f t="shared" si="54"/>
        <v>2.2112682544801476E-3</v>
      </c>
      <c r="I122" s="57">
        <f t="shared" si="54"/>
        <v>-1.1980663705252192E-2</v>
      </c>
      <c r="J122" s="57">
        <f t="shared" si="54"/>
        <v>-2.5593267108167783E-2</v>
      </c>
      <c r="K122" s="57">
        <f t="shared" si="54"/>
        <v>-3.1771977320324885E-2</v>
      </c>
      <c r="L122" s="57">
        <f t="shared" si="54"/>
        <v>-3.8302784062052675E-2</v>
      </c>
      <c r="M122" s="57">
        <f t="shared" si="54"/>
        <v>-5.5725037295294877E-2</v>
      </c>
      <c r="N122" s="142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</row>
    <row r="123" spans="1:41" s="29" customFormat="1" ht="18" x14ac:dyDescent="0.25">
      <c r="A123" s="76">
        <v>2016</v>
      </c>
      <c r="B123" s="57">
        <f t="shared" si="54"/>
        <v>-6.107660455486541E-2</v>
      </c>
      <c r="C123" s="57">
        <f t="shared" si="54"/>
        <v>-7.1395775941230477E-2</v>
      </c>
      <c r="D123" s="57">
        <f t="shared" si="54"/>
        <v>-2.8654266134498063E-2</v>
      </c>
      <c r="E123" s="57">
        <f t="shared" si="54"/>
        <v>-1.9323942084185197E-2</v>
      </c>
      <c r="F123" s="57">
        <f t="shared" si="54"/>
        <v>-4.9906425452277414E-3</v>
      </c>
      <c r="G123" s="57">
        <f t="shared" si="54"/>
        <v>-7.7295552367288023E-3</v>
      </c>
      <c r="H123" s="57">
        <f t="shared" si="54"/>
        <v>-2.0029494973815676E-2</v>
      </c>
      <c r="I123" s="57">
        <f t="shared" si="54"/>
        <v>1.1759940416311565E-4</v>
      </c>
      <c r="J123" s="57">
        <f t="shared" si="54"/>
        <v>1.3576348020650109E-2</v>
      </c>
      <c r="K123" s="57">
        <f t="shared" si="54"/>
        <v>2.8484670183033245E-2</v>
      </c>
      <c r="L123" s="57">
        <f t="shared" si="54"/>
        <v>4.5803074783683506E-2</v>
      </c>
      <c r="M123" s="57">
        <f t="shared" si="54"/>
        <v>6.1151527009480455E-2</v>
      </c>
      <c r="N123" s="142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</row>
    <row r="124" spans="1:41" s="29" customFormat="1" ht="18" hidden="1" x14ac:dyDescent="0.25">
      <c r="A124" s="80">
        <v>2015</v>
      </c>
      <c r="B124" s="57">
        <f t="shared" si="54"/>
        <v>0.38549800796812739</v>
      </c>
      <c r="C124" s="57">
        <f t="shared" ref="C124:M124" si="55">C77/C78-1</f>
        <v>0.48339860378001021</v>
      </c>
      <c r="D124" s="57">
        <f t="shared" si="55"/>
        <v>0.4990122481232715</v>
      </c>
      <c r="E124" s="57">
        <f t="shared" si="55"/>
        <v>0.45623980424143551</v>
      </c>
      <c r="F124" s="57">
        <f t="shared" si="55"/>
        <v>0.41109154929577474</v>
      </c>
      <c r="G124" s="57">
        <f t="shared" si="55"/>
        <v>0.41637878479983748</v>
      </c>
      <c r="H124" s="57">
        <f t="shared" si="55"/>
        <v>0.40271034744796719</v>
      </c>
      <c r="I124" s="57">
        <f t="shared" si="55"/>
        <v>0.38856935498503131</v>
      </c>
      <c r="J124" s="57">
        <f t="shared" si="55"/>
        <v>0.36587345801830473</v>
      </c>
      <c r="K124" s="57">
        <f t="shared" si="55"/>
        <v>0.3327825234560986</v>
      </c>
      <c r="L124" s="57">
        <f t="shared" si="55"/>
        <v>0.31163155961443456</v>
      </c>
      <c r="M124" s="57">
        <f t="shared" si="55"/>
        <v>0.27206905524193092</v>
      </c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</row>
    <row r="125" spans="1:41" s="39" customFormat="1" ht="18" hidden="1" x14ac:dyDescent="0.25">
      <c r="A125" s="80">
        <v>2014</v>
      </c>
      <c r="B125" s="57">
        <f t="shared" si="54"/>
        <v>-0.27254811036401572</v>
      </c>
      <c r="C125" s="57">
        <f t="shared" si="54"/>
        <v>-0.30509377033662666</v>
      </c>
      <c r="D125" s="57">
        <f t="shared" si="54"/>
        <v>-0.3308279196253211</v>
      </c>
      <c r="E125" s="57">
        <f t="shared" si="54"/>
        <v>-0.32724229703404939</v>
      </c>
      <c r="F125" s="57">
        <f t="shared" si="54"/>
        <v>-0.31000672465780166</v>
      </c>
      <c r="G125" s="57">
        <f t="shared" si="54"/>
        <v>-0.28421818181818181</v>
      </c>
      <c r="H125" s="57">
        <f t="shared" si="54"/>
        <v>-0.27694256627848413</v>
      </c>
      <c r="I125" s="57">
        <f t="shared" si="54"/>
        <v>-0.26387701677529651</v>
      </c>
      <c r="J125" s="57">
        <f t="shared" si="54"/>
        <v>-0.23724595099919865</v>
      </c>
      <c r="K125" s="57">
        <f t="shared" si="54"/>
        <v>-0.20198024227794908</v>
      </c>
      <c r="L125" s="57">
        <f t="shared" si="54"/>
        <v>-0.17551902752830106</v>
      </c>
      <c r="M125" s="57">
        <f t="shared" si="54"/>
        <v>-0.13253449527959327</v>
      </c>
      <c r="N125" s="48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</row>
    <row r="126" spans="1:41" s="29" customFormat="1" ht="18" hidden="1" x14ac:dyDescent="0.25">
      <c r="A126" s="80">
        <v>2013</v>
      </c>
      <c r="B126" s="57">
        <f t="shared" ref="B126:G126" si="56">B79/B80-1</f>
        <v>0.28324903302588522</v>
      </c>
      <c r="C126" s="57">
        <f t="shared" si="56"/>
        <v>0.19896439211235628</v>
      </c>
      <c r="D126" s="57">
        <f t="shared" si="56"/>
        <v>0.18566950291088213</v>
      </c>
      <c r="E126" s="57">
        <f t="shared" si="56"/>
        <v>0.21308037943085378</v>
      </c>
      <c r="F126" s="57">
        <f t="shared" si="56"/>
        <v>0.20090134681011795</v>
      </c>
      <c r="G126" s="57">
        <f t="shared" si="56"/>
        <v>0.17805813181399532</v>
      </c>
      <c r="H126" s="57">
        <f t="shared" ref="H126:M126" si="57">H79/H80-1</f>
        <v>0.18427807099992766</v>
      </c>
      <c r="I126" s="57">
        <f t="shared" si="57"/>
        <v>0.14986024510857887</v>
      </c>
      <c r="J126" s="57">
        <f t="shared" si="57"/>
        <v>0.13308204479172403</v>
      </c>
      <c r="K126" s="57">
        <f t="shared" si="57"/>
        <v>7.705640210876008E-2</v>
      </c>
      <c r="L126" s="57">
        <f t="shared" si="57"/>
        <v>3.8343092604641082E-2</v>
      </c>
      <c r="M126" s="57">
        <f t="shared" si="57"/>
        <v>4.2216876932887892E-4</v>
      </c>
      <c r="N126" s="142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</row>
    <row r="127" spans="1:41" s="29" customFormat="1" ht="18" hidden="1" x14ac:dyDescent="0.25">
      <c r="A127" s="31">
        <v>2012</v>
      </c>
      <c r="B127" s="57">
        <f t="shared" ref="B127:M127" si="58">B80/B81-1</f>
        <v>-0.18972999035679849</v>
      </c>
      <c r="C127" s="57">
        <f t="shared" si="58"/>
        <v>-6.019598693420436E-2</v>
      </c>
      <c r="D127" s="57">
        <f t="shared" si="58"/>
        <v>9.493670886076E-3</v>
      </c>
      <c r="E127" s="57">
        <f t="shared" si="58"/>
        <v>6.079864421141834E-2</v>
      </c>
      <c r="F127" s="57">
        <f t="shared" si="58"/>
        <v>0.10240946555239661</v>
      </c>
      <c r="G127" s="57">
        <f t="shared" si="58"/>
        <v>0.12279646954137702</v>
      </c>
      <c r="H127" s="57">
        <f t="shared" si="58"/>
        <v>0.15277546257709629</v>
      </c>
      <c r="I127" s="57">
        <f t="shared" si="58"/>
        <v>0.18598255104456962</v>
      </c>
      <c r="J127" s="57">
        <f t="shared" si="58"/>
        <v>0.18231055738984758</v>
      </c>
      <c r="K127" s="57">
        <f t="shared" si="58"/>
        <v>0.2095210365409812</v>
      </c>
      <c r="L127" s="57">
        <f t="shared" si="58"/>
        <v>0.2178276658963354</v>
      </c>
      <c r="M127" s="57">
        <f t="shared" si="58"/>
        <v>0.22082918819143971</v>
      </c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</row>
    <row r="128" spans="1:41" s="29" customFormat="1" ht="18" hidden="1" x14ac:dyDescent="0.25">
      <c r="A128" s="76">
        <v>2011</v>
      </c>
      <c r="B128" s="57">
        <f>B81/B82-1</f>
        <v>0.21304284252083638</v>
      </c>
      <c r="C128" s="57">
        <f t="shared" ref="C128:M128" si="59">C81/C82-1</f>
        <v>0.14459026400122088</v>
      </c>
      <c r="D128" s="57">
        <f t="shared" si="59"/>
        <v>5.0232646472319731E-2</v>
      </c>
      <c r="E128" s="57">
        <f t="shared" si="59"/>
        <v>-1.0653905267570263E-2</v>
      </c>
      <c r="F128" s="57">
        <f t="shared" si="59"/>
        <v>-2.3062031815503703E-2</v>
      </c>
      <c r="G128" s="57">
        <f t="shared" si="59"/>
        <v>-5.504170170215672E-2</v>
      </c>
      <c r="H128" s="57">
        <f t="shared" si="59"/>
        <v>-5.9220198772861776E-2</v>
      </c>
      <c r="I128" s="57">
        <f t="shared" si="59"/>
        <v>-7.1376621619336E-2</v>
      </c>
      <c r="J128" s="57">
        <f t="shared" si="59"/>
        <v>-8.9329620523150743E-2</v>
      </c>
      <c r="K128" s="57">
        <f t="shared" si="59"/>
        <v>-0.1012220971920551</v>
      </c>
      <c r="L128" s="57">
        <f t="shared" si="59"/>
        <v>-0.11741395587361159</v>
      </c>
      <c r="M128" s="57">
        <f t="shared" si="59"/>
        <v>-0.11888518080432575</v>
      </c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</row>
    <row r="129" spans="1:41" s="29" customFormat="1" ht="18" hidden="1" x14ac:dyDescent="0.25">
      <c r="A129" s="72">
        <v>2010</v>
      </c>
      <c r="B129" s="57">
        <f t="shared" ref="B129:M129" si="60">B82/B83-1</f>
        <v>-6.5710382513661236E-2</v>
      </c>
      <c r="C129" s="57">
        <f t="shared" si="60"/>
        <v>-0.15987179487179493</v>
      </c>
      <c r="D129" s="57">
        <f t="shared" si="60"/>
        <v>-0.16688422135200343</v>
      </c>
      <c r="E129" s="57">
        <f t="shared" si="60"/>
        <v>-0.19827489638176321</v>
      </c>
      <c r="F129" s="57">
        <f t="shared" si="60"/>
        <v>-0.22119040335620332</v>
      </c>
      <c r="G129" s="57">
        <f t="shared" si="60"/>
        <v>-0.22872116665498143</v>
      </c>
      <c r="H129" s="57">
        <f t="shared" si="60"/>
        <v>-0.24387098686745912</v>
      </c>
      <c r="I129" s="57">
        <f t="shared" si="60"/>
        <v>-0.21760821522622309</v>
      </c>
      <c r="J129" s="57">
        <f t="shared" si="60"/>
        <v>-0.18976069894150682</v>
      </c>
      <c r="K129" s="57">
        <f t="shared" si="60"/>
        <v>-0.1641768192655132</v>
      </c>
      <c r="L129" s="57">
        <f t="shared" si="60"/>
        <v>-0.1311845596127752</v>
      </c>
      <c r="M129" s="57">
        <f t="shared" si="60"/>
        <v>-0.11655159544691174</v>
      </c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</row>
    <row r="130" spans="1:41" s="29" customFormat="1" ht="18" hidden="1" x14ac:dyDescent="0.25">
      <c r="A130" s="72">
        <v>2009</v>
      </c>
      <c r="B130" s="57">
        <f t="shared" ref="B130:M132" si="61">B83/B84-1</f>
        <v>-0.1425559329975401</v>
      </c>
      <c r="C130" s="57">
        <f t="shared" si="61"/>
        <v>-0.15291051259774113</v>
      </c>
      <c r="D130" s="57">
        <f t="shared" ref="D130:M130" si="62">D83/D84-1</f>
        <v>-0.1355445375277825</v>
      </c>
      <c r="E130" s="57">
        <f t="shared" si="62"/>
        <v>-0.11416521954849912</v>
      </c>
      <c r="F130" s="57">
        <f t="shared" si="62"/>
        <v>-8.4185460148480162E-2</v>
      </c>
      <c r="G130" s="57">
        <f t="shared" si="62"/>
        <v>-3.4800115041702662E-2</v>
      </c>
      <c r="H130" s="57">
        <f t="shared" si="62"/>
        <v>-7.2397657376614966E-3</v>
      </c>
      <c r="I130" s="57">
        <f t="shared" si="62"/>
        <v>-1.1705160733436193E-2</v>
      </c>
      <c r="J130" s="57">
        <f t="shared" si="62"/>
        <v>-1.1706379799081956E-2</v>
      </c>
      <c r="K130" s="57">
        <f t="shared" si="62"/>
        <v>-7.392611730479004E-3</v>
      </c>
      <c r="L130" s="57">
        <f t="shared" si="62"/>
        <v>3.6893618318749599E-3</v>
      </c>
      <c r="M130" s="57">
        <f t="shared" si="62"/>
        <v>2.2280721834344375E-2</v>
      </c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</row>
    <row r="131" spans="1:41" s="29" customFormat="1" ht="18" hidden="1" x14ac:dyDescent="0.25">
      <c r="A131" s="72">
        <v>2008</v>
      </c>
      <c r="B131" s="57">
        <f t="shared" si="61"/>
        <v>-0.2927677905724464</v>
      </c>
      <c r="C131" s="57">
        <f t="shared" si="61"/>
        <v>-0.20197599341335526</v>
      </c>
      <c r="D131" s="57">
        <f t="shared" si="61"/>
        <v>-0.1947519136516328</v>
      </c>
      <c r="E131" s="57">
        <f t="shared" si="61"/>
        <v>-0.16982453249855833</v>
      </c>
      <c r="F131" s="57">
        <f t="shared" si="61"/>
        <v>-0.18398105813193988</v>
      </c>
      <c r="G131" s="57">
        <f t="shared" si="61"/>
        <v>-0.20701636705124771</v>
      </c>
      <c r="H131" s="57">
        <f t="shared" si="61"/>
        <v>-0.20869575342625257</v>
      </c>
      <c r="I131" s="57">
        <f t="shared" si="61"/>
        <v>-0.22395664176680741</v>
      </c>
      <c r="J131" s="57">
        <f t="shared" si="61"/>
        <v>-0.21930961684475636</v>
      </c>
      <c r="K131" s="57">
        <f t="shared" si="61"/>
        <v>-0.22257198798231104</v>
      </c>
      <c r="L131" s="57">
        <f t="shared" si="61"/>
        <v>-0.2277607723098658</v>
      </c>
      <c r="M131" s="57">
        <f t="shared" si="61"/>
        <v>-0.23092609572712264</v>
      </c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</row>
    <row r="132" spans="1:41" s="29" customFormat="1" ht="18" hidden="1" x14ac:dyDescent="0.25">
      <c r="A132" s="72">
        <v>2007</v>
      </c>
      <c r="B132" s="57">
        <f t="shared" si="61"/>
        <v>-0.10425942416147227</v>
      </c>
      <c r="C132" s="57">
        <f t="shared" si="61"/>
        <v>-8.3409461016006659E-2</v>
      </c>
      <c r="D132" s="57">
        <f t="shared" si="61"/>
        <v>-9.5261820537093311E-2</v>
      </c>
      <c r="E132" s="57">
        <f t="shared" si="61"/>
        <v>-0.11038639819717488</v>
      </c>
      <c r="F132" s="57">
        <f t="shared" si="61"/>
        <v>-0.11840495213416824</v>
      </c>
      <c r="G132" s="57">
        <f t="shared" si="61"/>
        <v>-0.10572031864862275</v>
      </c>
      <c r="H132" s="57">
        <f t="shared" si="61"/>
        <v>-0.10464146458433243</v>
      </c>
      <c r="I132" s="57">
        <f t="shared" si="61"/>
        <v>-9.8191403675770617E-2</v>
      </c>
      <c r="J132" s="57">
        <f t="shared" si="61"/>
        <v>-0.10997016696609585</v>
      </c>
      <c r="K132" s="57">
        <f t="shared" si="61"/>
        <v>-0.1146610080844005</v>
      </c>
      <c r="L132" s="57">
        <f t="shared" si="61"/>
        <v>-0.12529778046285556</v>
      </c>
      <c r="M132" s="57">
        <f t="shared" si="61"/>
        <v>-0.14001930343613778</v>
      </c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</row>
    <row r="133" spans="1:41" s="29" customFormat="1" ht="18" hidden="1" x14ac:dyDescent="0.25">
      <c r="A133" s="76">
        <v>2005</v>
      </c>
      <c r="B133" s="57">
        <f t="shared" ref="B133:M133" si="63">B87/B88-1</f>
        <v>0.31041936878512755</v>
      </c>
      <c r="C133" s="57">
        <f t="shared" si="63"/>
        <v>0.18708993640860005</v>
      </c>
      <c r="D133" s="57">
        <f t="shared" si="63"/>
        <v>0.1416812765578106</v>
      </c>
      <c r="E133" s="57">
        <f t="shared" si="63"/>
        <v>0.10801579677660378</v>
      </c>
      <c r="F133" s="57">
        <f t="shared" si="63"/>
        <v>0.10943085883083525</v>
      </c>
      <c r="G133" s="57">
        <f t="shared" si="63"/>
        <v>0.10184707320385722</v>
      </c>
      <c r="H133" s="57">
        <f t="shared" si="63"/>
        <v>0.11037215553598734</v>
      </c>
      <c r="I133" s="57">
        <f t="shared" si="63"/>
        <v>0.12637036291337389</v>
      </c>
      <c r="J133" s="57">
        <f t="shared" si="63"/>
        <v>0.14152271158483565</v>
      </c>
      <c r="K133" s="57">
        <f t="shared" si="63"/>
        <v>0.15702351987023522</v>
      </c>
      <c r="L133" s="57">
        <f t="shared" si="63"/>
        <v>0.16006145748333078</v>
      </c>
      <c r="M133" s="57">
        <f t="shared" si="63"/>
        <v>0.15703166935050983</v>
      </c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</row>
    <row r="134" spans="1:41" s="83" customFormat="1" ht="18" hidden="1" x14ac:dyDescent="0.25">
      <c r="A134" s="76">
        <v>2004</v>
      </c>
      <c r="B134" s="57">
        <f t="shared" ref="B134:M134" si="64">B88/B89-1</f>
        <v>-0.37214983713355054</v>
      </c>
      <c r="C134" s="57">
        <f t="shared" si="64"/>
        <v>-0.32403111353711789</v>
      </c>
      <c r="D134" s="57">
        <f t="shared" si="64"/>
        <v>-0.26653153742208269</v>
      </c>
      <c r="E134" s="57">
        <f t="shared" si="64"/>
        <v>-0.26209753638712119</v>
      </c>
      <c r="F134" s="57">
        <f t="shared" si="64"/>
        <v>-0.25888747916511179</v>
      </c>
      <c r="G134" s="57">
        <f t="shared" si="64"/>
        <v>-0.25428912880552579</v>
      </c>
      <c r="H134" s="57">
        <f t="shared" si="64"/>
        <v>-0.27367898408637625</v>
      </c>
      <c r="I134" s="57">
        <f t="shared" si="64"/>
        <v>-0.28442792413142293</v>
      </c>
      <c r="J134" s="57">
        <f t="shared" si="64"/>
        <v>-0.29114109057172088</v>
      </c>
      <c r="K134" s="57">
        <f t="shared" si="64"/>
        <v>-0.30208468944749789</v>
      </c>
      <c r="L134" s="57">
        <f t="shared" si="64"/>
        <v>-0.28346203685169769</v>
      </c>
      <c r="M134" s="57">
        <f t="shared" si="64"/>
        <v>-0.26575131907598171</v>
      </c>
      <c r="N134" s="48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</row>
    <row r="135" spans="1:41" s="83" customFormat="1" ht="18" hidden="1" x14ac:dyDescent="0.25">
      <c r="A135" s="76">
        <v>2003</v>
      </c>
      <c r="B135" s="57">
        <f t="shared" ref="B135:M135" si="65">B89/B90-1</f>
        <v>0.22514133688061189</v>
      </c>
      <c r="C135" s="57">
        <f t="shared" si="65"/>
        <v>0.17709420930045772</v>
      </c>
      <c r="D135" s="57">
        <f t="shared" si="65"/>
        <v>0.20069086436553008</v>
      </c>
      <c r="E135" s="57">
        <f t="shared" si="65"/>
        <v>0.23200527858099318</v>
      </c>
      <c r="F135" s="57">
        <f t="shared" si="65"/>
        <v>0.227970489850158</v>
      </c>
      <c r="G135" s="57">
        <f t="shared" si="65"/>
        <v>0.26678127886687886</v>
      </c>
      <c r="H135" s="57">
        <f t="shared" si="65"/>
        <v>0.31036345992677861</v>
      </c>
      <c r="I135" s="57">
        <f t="shared" si="65"/>
        <v>0.34386919398245852</v>
      </c>
      <c r="J135" s="57">
        <f t="shared" si="65"/>
        <v>0.3531242744993508</v>
      </c>
      <c r="K135" s="57">
        <f t="shared" si="65"/>
        <v>0.32978811486206761</v>
      </c>
      <c r="L135" s="57">
        <f t="shared" si="65"/>
        <v>0.2828722412185265</v>
      </c>
      <c r="M135" s="57">
        <f t="shared" si="65"/>
        <v>0.22481822295972242</v>
      </c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</row>
    <row r="136" spans="1:41" ht="18.75" hidden="1" customHeight="1" x14ac:dyDescent="0.25">
      <c r="A136" s="76">
        <v>2002</v>
      </c>
      <c r="B136" s="57">
        <f>B90/B91-1</f>
        <v>0.58911348923239526</v>
      </c>
      <c r="C136" s="57">
        <f t="shared" ref="C136:M137" si="66">C90/C91-1</f>
        <v>0.62609377040616421</v>
      </c>
      <c r="D136" s="57">
        <f t="shared" si="66"/>
        <v>0.49690535882168607</v>
      </c>
      <c r="E136" s="57">
        <f t="shared" si="66"/>
        <v>0.4238857111276908</v>
      </c>
      <c r="F136" s="57">
        <f t="shared" si="66"/>
        <v>0.35437224601253647</v>
      </c>
      <c r="G136" s="57">
        <f t="shared" si="66"/>
        <v>0.29406295656793735</v>
      </c>
      <c r="H136" s="57">
        <f t="shared" si="66"/>
        <v>0.26274455197382163</v>
      </c>
      <c r="I136" s="57">
        <f t="shared" si="66"/>
        <v>0.22338812828651289</v>
      </c>
      <c r="J136" s="57">
        <f t="shared" si="66"/>
        <v>0.2296102852551225</v>
      </c>
      <c r="K136" s="57">
        <f t="shared" si="66"/>
        <v>0.24158909947291685</v>
      </c>
      <c r="L136" s="57">
        <f t="shared" si="66"/>
        <v>0.24342083151278859</v>
      </c>
      <c r="M136" s="57">
        <f t="shared" si="66"/>
        <v>0.26258970881774824</v>
      </c>
      <c r="N136" s="82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</row>
    <row r="137" spans="1:41" ht="18" hidden="1" x14ac:dyDescent="0.25">
      <c r="A137" s="76">
        <v>2001</v>
      </c>
      <c r="B137" s="57">
        <f>B91/B92-1</f>
        <v>1.4203403457054842E-2</v>
      </c>
      <c r="C137" s="57">
        <f t="shared" si="66"/>
        <v>6.6880312108123174E-2</v>
      </c>
      <c r="D137" s="57">
        <f t="shared" si="66"/>
        <v>7.4817902404109349E-2</v>
      </c>
      <c r="E137" s="57">
        <f t="shared" si="66"/>
        <v>0.15531222066147365</v>
      </c>
      <c r="F137" s="57">
        <f t="shared" si="66"/>
        <v>0.22411304413887412</v>
      </c>
      <c r="G137" s="57">
        <f t="shared" si="66"/>
        <v>0.23809328043741895</v>
      </c>
      <c r="H137" s="57">
        <f t="shared" si="66"/>
        <v>0.29045300174300559</v>
      </c>
      <c r="I137" s="57">
        <f t="shared" si="66"/>
        <v>0.30534126922779614</v>
      </c>
      <c r="J137" s="57">
        <f t="shared" si="66"/>
        <v>0.30569590546398295</v>
      </c>
      <c r="K137" s="57">
        <f t="shared" si="66"/>
        <v>0.32581652376468262</v>
      </c>
      <c r="L137" s="57">
        <f t="shared" si="66"/>
        <v>0.33987818470441211</v>
      </c>
      <c r="M137" s="57">
        <f t="shared" si="66"/>
        <v>0.36274255339029682</v>
      </c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</row>
    <row r="138" spans="1:41" ht="18" hidden="1" x14ac:dyDescent="0.25">
      <c r="A138" s="80">
        <v>2000</v>
      </c>
      <c r="B138" s="81">
        <f t="shared" ref="B138:M138" si="67">B92/B93-1</f>
        <v>-0.32595736994219648</v>
      </c>
      <c r="C138" s="81">
        <f t="shared" si="67"/>
        <v>-0.38381626958574799</v>
      </c>
      <c r="D138" s="81">
        <f t="shared" si="67"/>
        <v>-0.35330955427886845</v>
      </c>
      <c r="E138" s="81">
        <f t="shared" si="67"/>
        <v>-0.37073866489885288</v>
      </c>
      <c r="F138" s="81">
        <f t="shared" si="67"/>
        <v>-0.35915287244401173</v>
      </c>
      <c r="G138" s="81">
        <f t="shared" si="67"/>
        <v>-0.33199225561948176</v>
      </c>
      <c r="H138" s="81">
        <f t="shared" si="67"/>
        <v>-0.33428632948944925</v>
      </c>
      <c r="I138" s="81">
        <f t="shared" si="67"/>
        <v>-0.30988680372555499</v>
      </c>
      <c r="J138" s="81">
        <f t="shared" si="67"/>
        <v>-0.29195460721162769</v>
      </c>
      <c r="K138" s="81">
        <f t="shared" si="67"/>
        <v>-0.27060099412562133</v>
      </c>
      <c r="L138" s="81">
        <f t="shared" si="67"/>
        <v>-0.25682945807779511</v>
      </c>
      <c r="M138" s="81">
        <f t="shared" si="67"/>
        <v>-0.25009148169198314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</row>
    <row r="139" spans="1:41" ht="18" hidden="1" x14ac:dyDescent="0.25">
      <c r="A139" s="80">
        <v>1999</v>
      </c>
      <c r="B139" s="81">
        <f t="shared" ref="B139:M139" si="68">B93/B94-1</f>
        <v>0.39745046068408429</v>
      </c>
      <c r="C139" s="81">
        <f t="shared" si="68"/>
        <v>0.3997716620598486</v>
      </c>
      <c r="D139" s="81">
        <f t="shared" si="68"/>
        <v>0.33640200858743907</v>
      </c>
      <c r="E139" s="81">
        <f t="shared" si="68"/>
        <v>0.32025779758115847</v>
      </c>
      <c r="F139" s="81">
        <f t="shared" si="68"/>
        <v>0.29649890590809624</v>
      </c>
      <c r="G139" s="81">
        <f t="shared" si="68"/>
        <v>0.23647260564695505</v>
      </c>
      <c r="H139" s="81">
        <f t="shared" si="68"/>
        <v>0.18879408418657562</v>
      </c>
      <c r="I139" s="81">
        <f t="shared" si="68"/>
        <v>0.1474829832035649</v>
      </c>
      <c r="J139" s="81">
        <f t="shared" si="68"/>
        <v>0.10730250127174146</v>
      </c>
      <c r="K139" s="81">
        <f t="shared" si="68"/>
        <v>6.9505794565963397E-2</v>
      </c>
      <c r="L139" s="81">
        <f t="shared" si="68"/>
        <v>3.7698498832232197E-2</v>
      </c>
      <c r="M139" s="81">
        <f t="shared" si="68"/>
        <v>1.551753715631321E-3</v>
      </c>
      <c r="N139" s="19"/>
    </row>
    <row r="140" spans="1:41" x14ac:dyDescent="0.2">
      <c r="A140" s="20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41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7"/>
    </row>
    <row r="142" spans="1:41" x14ac:dyDescent="0.2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6"/>
    </row>
    <row r="143" spans="1:41" x14ac:dyDescent="0.2">
      <c r="K143" s="19"/>
      <c r="L143" s="19"/>
      <c r="M143" s="19"/>
      <c r="N143" s="16"/>
    </row>
    <row r="144" spans="1:41" x14ac:dyDescent="0.2">
      <c r="A144" s="15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21"/>
      <c r="N144" s="16"/>
    </row>
    <row r="145" spans="1:14" x14ac:dyDescent="0.2">
      <c r="A145" s="15"/>
      <c r="B145" s="16"/>
      <c r="C145" s="16"/>
      <c r="D145" s="16"/>
      <c r="E145" s="16"/>
      <c r="F145" s="16"/>
      <c r="G145" s="16"/>
      <c r="H145" s="16"/>
      <c r="I145" s="16"/>
      <c r="J145" s="16"/>
      <c r="K145" s="22"/>
      <c r="L145" s="22"/>
      <c r="M145" s="22"/>
      <c r="N145" s="16"/>
    </row>
    <row r="146" spans="1:14" x14ac:dyDescent="0.2">
      <c r="A146" s="4"/>
      <c r="B146" s="16"/>
      <c r="C146" s="16"/>
      <c r="D146" s="16"/>
      <c r="E146" s="16"/>
      <c r="F146" s="16"/>
      <c r="G146" s="16"/>
      <c r="H146" s="16"/>
      <c r="I146" s="16"/>
      <c r="J146" s="16"/>
      <c r="K146" s="22"/>
      <c r="L146" s="22"/>
      <c r="M146" s="22"/>
      <c r="N146" s="16"/>
    </row>
    <row r="147" spans="1:14" x14ac:dyDescent="0.2">
      <c r="A147" s="4"/>
      <c r="B147" s="16"/>
      <c r="C147" s="16"/>
      <c r="D147" s="16"/>
      <c r="E147" s="16"/>
      <c r="F147" s="16"/>
      <c r="G147" s="16"/>
      <c r="H147" s="16"/>
      <c r="I147" s="16"/>
      <c r="J147" s="16"/>
      <c r="K147" s="22"/>
      <c r="L147" s="22"/>
      <c r="M147" s="22"/>
      <c r="N147" s="16"/>
    </row>
    <row r="148" spans="1:14" x14ac:dyDescent="0.2">
      <c r="A148" s="4"/>
      <c r="B148" s="16"/>
      <c r="C148" s="16"/>
      <c r="D148" s="16"/>
      <c r="E148" s="16"/>
      <c r="F148" s="16"/>
      <c r="G148" s="16"/>
      <c r="H148" s="16"/>
      <c r="I148" s="16"/>
      <c r="J148" s="16"/>
      <c r="K148" s="22"/>
      <c r="L148" s="22"/>
      <c r="M148" s="22"/>
      <c r="N148" s="16"/>
    </row>
    <row r="149" spans="1:14" x14ac:dyDescent="0.2">
      <c r="A149" s="4"/>
      <c r="B149" s="16"/>
      <c r="C149" s="16"/>
      <c r="D149" s="16"/>
      <c r="E149" s="16"/>
      <c r="F149" s="16"/>
      <c r="G149" s="16"/>
      <c r="H149" s="16"/>
      <c r="I149" s="16"/>
      <c r="J149" s="16"/>
      <c r="K149" s="22"/>
      <c r="L149" s="22"/>
      <c r="M149" s="22"/>
    </row>
    <row r="150" spans="1:14" x14ac:dyDescent="0.2">
      <c r="A150" s="4"/>
      <c r="B150" s="16"/>
      <c r="C150" s="16"/>
      <c r="D150" s="16"/>
      <c r="E150" s="16"/>
      <c r="F150" s="16"/>
      <c r="G150" s="16"/>
      <c r="H150" s="16"/>
      <c r="I150" s="16"/>
      <c r="J150" s="16"/>
      <c r="K150" s="22"/>
      <c r="L150" s="22"/>
      <c r="M150" s="22"/>
    </row>
    <row r="151" spans="1:14" x14ac:dyDescent="0.2">
      <c r="A151" s="4"/>
      <c r="B151" s="16"/>
      <c r="C151" s="16"/>
      <c r="D151" s="16"/>
      <c r="E151" s="16"/>
      <c r="F151" s="16"/>
      <c r="G151" s="16"/>
      <c r="H151" s="16"/>
      <c r="I151" s="16"/>
      <c r="J151" s="16"/>
      <c r="K151" s="22"/>
      <c r="L151" s="22"/>
      <c r="M151" s="22"/>
    </row>
    <row r="153" spans="1:14" ht="18" x14ac:dyDescent="0.25">
      <c r="A153" s="30"/>
    </row>
    <row r="159" spans="1:14" x14ac:dyDescent="0.2">
      <c r="N159" s="2"/>
    </row>
    <row r="160" spans="1:14" x14ac:dyDescent="0.2">
      <c r="N160" s="2"/>
    </row>
  </sheetData>
  <phoneticPr fontId="12" type="noConversion"/>
  <pageMargins left="0.5" right="0.5" top="0.4" bottom="0.4" header="0.22" footer="0.48"/>
  <pageSetup scale="64" orientation="landscape" r:id="rId1"/>
  <headerFooter alignWithMargins="0"/>
  <rowBreaks count="1" manualBreakCount="1">
    <brk id="148" max="16383" man="1"/>
  </rowBreaks>
  <colBreaks count="8" manualBreakCount="8">
    <brk id="17" max="1048575" man="1"/>
    <brk id="35" max="1048575" man="1"/>
    <brk id="53" max="1048575" man="1"/>
    <brk id="71" max="1048575" man="1"/>
    <brk id="89" max="1048575" man="1"/>
    <brk id="107" max="1048575" man="1"/>
    <brk id="125" max="1048575" man="1"/>
    <brk id="14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23:P128"/>
  <sheetViews>
    <sheetView topLeftCell="A7" zoomScale="65" zoomScaleNormal="65" workbookViewId="0">
      <selection activeCell="I115" sqref="I115"/>
    </sheetView>
  </sheetViews>
  <sheetFormatPr defaultColWidth="9.77734375" defaultRowHeight="15" x14ac:dyDescent="0.2"/>
  <cols>
    <col min="1" max="1" width="27.77734375" customWidth="1"/>
    <col min="2" max="14" width="10.6640625" customWidth="1"/>
  </cols>
  <sheetData>
    <row r="23" spans="1:14" s="29" customFormat="1" ht="15" customHeight="1" x14ac:dyDescent="0.25"/>
    <row r="24" spans="1:14" s="29" customFormat="1" ht="56.25" customHeight="1" x14ac:dyDescent="0.25"/>
    <row r="25" spans="1:14" s="39" customFormat="1" ht="18.75" thickBot="1" x14ac:dyDescent="0.3">
      <c r="A25" s="49" t="s">
        <v>111</v>
      </c>
      <c r="B25" s="40" t="s">
        <v>82</v>
      </c>
      <c r="C25" s="40" t="s">
        <v>83</v>
      </c>
      <c r="D25" s="40" t="s">
        <v>84</v>
      </c>
      <c r="E25" s="40" t="s">
        <v>85</v>
      </c>
      <c r="F25" s="40" t="s">
        <v>86</v>
      </c>
      <c r="G25" s="40" t="s">
        <v>87</v>
      </c>
      <c r="H25" s="40" t="s">
        <v>88</v>
      </c>
      <c r="I25" s="40" t="s">
        <v>89</v>
      </c>
      <c r="J25" s="40" t="s">
        <v>90</v>
      </c>
      <c r="K25" s="40" t="s">
        <v>91</v>
      </c>
      <c r="L25" s="41" t="s">
        <v>92</v>
      </c>
      <c r="M25" s="40" t="s">
        <v>59</v>
      </c>
      <c r="N25" s="40" t="s">
        <v>60</v>
      </c>
    </row>
    <row r="26" spans="1:14" s="39" customFormat="1" ht="18" x14ac:dyDescent="0.25">
      <c r="A26" s="30">
        <v>2020</v>
      </c>
      <c r="B26" s="184">
        <v>138</v>
      </c>
      <c r="C26" s="184">
        <v>177</v>
      </c>
      <c r="D26" s="184">
        <v>129</v>
      </c>
      <c r="E26" s="184">
        <v>125</v>
      </c>
      <c r="F26" s="184">
        <v>150</v>
      </c>
      <c r="G26" s="184">
        <v>219</v>
      </c>
      <c r="H26" s="184">
        <v>321</v>
      </c>
      <c r="I26" s="184">
        <v>303</v>
      </c>
      <c r="J26" s="184"/>
      <c r="K26" s="184"/>
      <c r="L26" s="184"/>
      <c r="M26" s="184"/>
      <c r="N26" s="184">
        <f>SUM(B26:M26)</f>
        <v>1562</v>
      </c>
    </row>
    <row r="27" spans="1:14" s="29" customFormat="1" ht="18" x14ac:dyDescent="0.25">
      <c r="A27" s="31">
        <v>2019</v>
      </c>
      <c r="B27" s="186">
        <v>143</v>
      </c>
      <c r="C27" s="186">
        <v>166</v>
      </c>
      <c r="D27" s="186">
        <v>181</v>
      </c>
      <c r="E27" s="186">
        <v>203</v>
      </c>
      <c r="F27" s="186">
        <v>286</v>
      </c>
      <c r="G27" s="186">
        <v>325</v>
      </c>
      <c r="H27" s="186">
        <v>406</v>
      </c>
      <c r="I27" s="186">
        <v>399</v>
      </c>
      <c r="J27" s="186">
        <v>272</v>
      </c>
      <c r="K27" s="186">
        <v>198</v>
      </c>
      <c r="L27" s="186">
        <v>136</v>
      </c>
      <c r="M27" s="186">
        <v>190</v>
      </c>
      <c r="N27" s="186">
        <f>SUM(B27:M27)</f>
        <v>2905</v>
      </c>
    </row>
    <row r="28" spans="1:14" s="29" customFormat="1" ht="18" x14ac:dyDescent="0.25">
      <c r="A28" s="31">
        <v>2018</v>
      </c>
      <c r="B28" s="186">
        <v>158</v>
      </c>
      <c r="C28" s="186">
        <v>139</v>
      </c>
      <c r="D28" s="186">
        <v>191</v>
      </c>
      <c r="E28" s="186">
        <v>180</v>
      </c>
      <c r="F28" s="186">
        <v>264</v>
      </c>
      <c r="G28" s="186">
        <v>384</v>
      </c>
      <c r="H28" s="186">
        <v>419</v>
      </c>
      <c r="I28" s="186">
        <v>430</v>
      </c>
      <c r="J28" s="186">
        <v>256</v>
      </c>
      <c r="K28" s="186">
        <v>207</v>
      </c>
      <c r="L28" s="186">
        <v>151</v>
      </c>
      <c r="M28" s="186">
        <v>180</v>
      </c>
      <c r="N28" s="176">
        <f t="shared" ref="N28:N34" si="0">SUM(B28:M28)</f>
        <v>2959</v>
      </c>
    </row>
    <row r="29" spans="1:14" s="29" customFormat="1" ht="18" x14ac:dyDescent="0.25">
      <c r="A29" s="31">
        <v>2017</v>
      </c>
      <c r="B29" s="176">
        <v>142</v>
      </c>
      <c r="C29" s="176">
        <v>171</v>
      </c>
      <c r="D29" s="176">
        <v>233</v>
      </c>
      <c r="E29" s="176">
        <v>171</v>
      </c>
      <c r="F29" s="176">
        <v>238</v>
      </c>
      <c r="G29" s="176">
        <v>399</v>
      </c>
      <c r="H29" s="176">
        <v>399</v>
      </c>
      <c r="I29" s="176">
        <v>422</v>
      </c>
      <c r="J29" s="176">
        <v>342</v>
      </c>
      <c r="K29" s="176">
        <v>206</v>
      </c>
      <c r="L29" s="176">
        <v>152</v>
      </c>
      <c r="M29" s="176">
        <v>177</v>
      </c>
      <c r="N29" s="176">
        <f t="shared" si="0"/>
        <v>3052</v>
      </c>
    </row>
    <row r="30" spans="1:14" s="39" customFormat="1" ht="18" x14ac:dyDescent="0.25">
      <c r="A30" s="31">
        <v>2016</v>
      </c>
      <c r="B30" s="176">
        <v>161</v>
      </c>
      <c r="C30" s="176">
        <v>154</v>
      </c>
      <c r="D30" s="176">
        <v>215</v>
      </c>
      <c r="E30" s="176">
        <v>180</v>
      </c>
      <c r="F30" s="176">
        <v>293</v>
      </c>
      <c r="G30" s="176">
        <v>313</v>
      </c>
      <c r="H30" s="176">
        <v>373</v>
      </c>
      <c r="I30" s="176">
        <v>391</v>
      </c>
      <c r="J30" s="176">
        <v>267</v>
      </c>
      <c r="K30" s="176">
        <v>177</v>
      </c>
      <c r="L30" s="176">
        <v>178</v>
      </c>
      <c r="M30" s="176">
        <v>182</v>
      </c>
      <c r="N30" s="176">
        <f t="shared" si="0"/>
        <v>2884</v>
      </c>
    </row>
    <row r="31" spans="1:14" s="29" customFormat="1" ht="18" hidden="1" x14ac:dyDescent="0.25">
      <c r="A31" s="31">
        <v>2015</v>
      </c>
      <c r="B31" s="179">
        <v>130</v>
      </c>
      <c r="C31" s="179">
        <v>144</v>
      </c>
      <c r="D31" s="179">
        <v>199</v>
      </c>
      <c r="E31" s="179">
        <v>185</v>
      </c>
      <c r="F31" s="179">
        <v>209</v>
      </c>
      <c r="G31" s="179">
        <v>342</v>
      </c>
      <c r="H31" s="179">
        <v>420</v>
      </c>
      <c r="I31" s="179">
        <v>377</v>
      </c>
      <c r="J31" s="179">
        <v>277</v>
      </c>
      <c r="K31" s="179">
        <v>194</v>
      </c>
      <c r="L31" s="179">
        <v>157</v>
      </c>
      <c r="M31" s="179">
        <v>179</v>
      </c>
      <c r="N31" s="176">
        <f t="shared" si="0"/>
        <v>2813</v>
      </c>
    </row>
    <row r="32" spans="1:14" s="39" customFormat="1" ht="18" hidden="1" x14ac:dyDescent="0.25">
      <c r="A32" s="31">
        <v>2014</v>
      </c>
      <c r="B32" s="179">
        <v>227</v>
      </c>
      <c r="C32" s="179">
        <v>213</v>
      </c>
      <c r="D32" s="179">
        <v>250</v>
      </c>
      <c r="E32" s="179">
        <v>237</v>
      </c>
      <c r="F32" s="179">
        <v>267</v>
      </c>
      <c r="G32" s="179">
        <v>256</v>
      </c>
      <c r="H32" s="179">
        <v>415</v>
      </c>
      <c r="I32" s="179">
        <v>376</v>
      </c>
      <c r="J32" s="179">
        <v>247</v>
      </c>
      <c r="K32" s="179">
        <v>176</v>
      </c>
      <c r="L32" s="179">
        <v>131</v>
      </c>
      <c r="M32" s="179">
        <v>193</v>
      </c>
      <c r="N32" s="176">
        <f t="shared" si="0"/>
        <v>2988</v>
      </c>
    </row>
    <row r="33" spans="1:14" s="29" customFormat="1" ht="18" hidden="1" x14ac:dyDescent="0.25">
      <c r="A33" s="31">
        <v>2013</v>
      </c>
      <c r="B33" s="179">
        <v>151</v>
      </c>
      <c r="C33" s="179">
        <v>161</v>
      </c>
      <c r="D33" s="179">
        <v>187</v>
      </c>
      <c r="E33" s="179">
        <v>226</v>
      </c>
      <c r="F33" s="179">
        <v>267</v>
      </c>
      <c r="G33" s="179">
        <v>336</v>
      </c>
      <c r="H33" s="179">
        <v>561</v>
      </c>
      <c r="I33" s="179">
        <v>546</v>
      </c>
      <c r="J33" s="179">
        <v>464</v>
      </c>
      <c r="K33" s="179">
        <v>417</v>
      </c>
      <c r="L33" s="179">
        <v>144</v>
      </c>
      <c r="M33" s="179">
        <v>426</v>
      </c>
      <c r="N33" s="176">
        <f t="shared" si="0"/>
        <v>3886</v>
      </c>
    </row>
    <row r="34" spans="1:14" s="29" customFormat="1" ht="18" hidden="1" x14ac:dyDescent="0.25">
      <c r="A34" s="31">
        <v>2012</v>
      </c>
      <c r="B34" s="179">
        <v>119</v>
      </c>
      <c r="C34" s="179">
        <v>165</v>
      </c>
      <c r="D34" s="179">
        <v>156</v>
      </c>
      <c r="E34" s="179">
        <v>142</v>
      </c>
      <c r="F34" s="179">
        <v>194</v>
      </c>
      <c r="G34" s="179">
        <v>334</v>
      </c>
      <c r="H34" s="179">
        <v>434</v>
      </c>
      <c r="I34" s="179">
        <v>336</v>
      </c>
      <c r="J34" s="179">
        <v>232</v>
      </c>
      <c r="K34" s="179">
        <v>157</v>
      </c>
      <c r="L34" s="179">
        <v>164</v>
      </c>
      <c r="M34" s="179">
        <v>333</v>
      </c>
      <c r="N34" s="179">
        <f t="shared" si="0"/>
        <v>2766</v>
      </c>
    </row>
    <row r="35" spans="1:14" s="39" customFormat="1" ht="18.75" hidden="1" customHeight="1" x14ac:dyDescent="0.25">
      <c r="A35" s="31">
        <v>2011</v>
      </c>
      <c r="B35" s="162">
        <v>153</v>
      </c>
      <c r="C35" s="162">
        <v>122</v>
      </c>
      <c r="D35" s="162">
        <v>150</v>
      </c>
      <c r="E35" s="162">
        <v>161</v>
      </c>
      <c r="F35" s="162">
        <v>197</v>
      </c>
      <c r="G35" s="162">
        <v>312</v>
      </c>
      <c r="H35" s="162">
        <v>350</v>
      </c>
      <c r="I35" s="162">
        <v>351</v>
      </c>
      <c r="J35" s="162">
        <v>219</v>
      </c>
      <c r="K35" s="162">
        <v>166</v>
      </c>
      <c r="L35" s="162">
        <v>144</v>
      </c>
      <c r="M35" s="162">
        <v>175</v>
      </c>
      <c r="N35" s="162">
        <f t="shared" ref="N35:N47" si="1">SUM(B35:M35)</f>
        <v>2500</v>
      </c>
    </row>
    <row r="36" spans="1:14" s="29" customFormat="1" ht="18" hidden="1" x14ac:dyDescent="0.25">
      <c r="A36" s="161">
        <v>2010</v>
      </c>
      <c r="B36" s="162">
        <v>114</v>
      </c>
      <c r="C36" s="162">
        <v>138</v>
      </c>
      <c r="D36" s="162">
        <v>178</v>
      </c>
      <c r="E36" s="162">
        <v>204</v>
      </c>
      <c r="F36" s="162">
        <v>184</v>
      </c>
      <c r="G36" s="162">
        <v>302</v>
      </c>
      <c r="H36" s="162">
        <v>381</v>
      </c>
      <c r="I36" s="162">
        <v>344</v>
      </c>
      <c r="J36" s="162">
        <v>234</v>
      </c>
      <c r="K36" s="162">
        <v>149</v>
      </c>
      <c r="L36" s="162">
        <v>124</v>
      </c>
      <c r="M36" s="162">
        <v>149</v>
      </c>
      <c r="N36" s="162">
        <f t="shared" si="1"/>
        <v>2501</v>
      </c>
    </row>
    <row r="37" spans="1:14" s="29" customFormat="1" ht="18" hidden="1" x14ac:dyDescent="0.25">
      <c r="A37" s="31">
        <v>2009</v>
      </c>
      <c r="B37" s="145">
        <v>136</v>
      </c>
      <c r="C37" s="145">
        <v>168</v>
      </c>
      <c r="D37" s="145">
        <v>183</v>
      </c>
      <c r="E37" s="145">
        <v>178</v>
      </c>
      <c r="F37" s="145">
        <v>220</v>
      </c>
      <c r="G37" s="145">
        <v>288</v>
      </c>
      <c r="H37" s="145">
        <v>356</v>
      </c>
      <c r="I37" s="145">
        <v>361</v>
      </c>
      <c r="J37" s="145">
        <v>236</v>
      </c>
      <c r="K37" s="145">
        <v>211</v>
      </c>
      <c r="L37" s="145">
        <v>125</v>
      </c>
      <c r="M37" s="145">
        <v>158</v>
      </c>
      <c r="N37" s="146">
        <f t="shared" si="1"/>
        <v>2620</v>
      </c>
    </row>
    <row r="38" spans="1:14" s="29" customFormat="1" ht="18" hidden="1" x14ac:dyDescent="0.25">
      <c r="A38" s="31">
        <v>2008</v>
      </c>
      <c r="B38" s="145">
        <v>142</v>
      </c>
      <c r="C38" s="145">
        <v>182</v>
      </c>
      <c r="D38" s="145">
        <v>165</v>
      </c>
      <c r="E38" s="145">
        <v>168</v>
      </c>
      <c r="F38" s="145">
        <v>231</v>
      </c>
      <c r="G38" s="145">
        <v>239</v>
      </c>
      <c r="H38" s="145">
        <v>388</v>
      </c>
      <c r="I38" s="145">
        <v>338</v>
      </c>
      <c r="J38" s="145">
        <v>228</v>
      </c>
      <c r="K38" s="145">
        <v>212</v>
      </c>
      <c r="L38" s="145">
        <v>134</v>
      </c>
      <c r="M38" s="145">
        <v>191</v>
      </c>
      <c r="N38" s="146">
        <f t="shared" si="1"/>
        <v>2618</v>
      </c>
    </row>
    <row r="39" spans="1:14" s="29" customFormat="1" ht="18" hidden="1" x14ac:dyDescent="0.25">
      <c r="A39" s="31">
        <v>2007</v>
      </c>
      <c r="B39" s="145">
        <v>147</v>
      </c>
      <c r="C39" s="145">
        <v>158</v>
      </c>
      <c r="D39" s="145">
        <v>179</v>
      </c>
      <c r="E39" s="145">
        <v>179</v>
      </c>
      <c r="F39" s="145">
        <v>272</v>
      </c>
      <c r="G39" s="145">
        <v>370</v>
      </c>
      <c r="H39" s="145">
        <v>359</v>
      </c>
      <c r="I39" s="145">
        <v>356</v>
      </c>
      <c r="J39" s="145">
        <v>186</v>
      </c>
      <c r="K39" s="145">
        <v>181</v>
      </c>
      <c r="L39" s="145">
        <v>143</v>
      </c>
      <c r="M39" s="145">
        <v>181</v>
      </c>
      <c r="N39" s="146">
        <f t="shared" si="1"/>
        <v>2711</v>
      </c>
    </row>
    <row r="40" spans="1:14" s="29" customFormat="1" ht="18" hidden="1" x14ac:dyDescent="0.25">
      <c r="A40" s="31">
        <v>2006</v>
      </c>
      <c r="B40" s="145">
        <v>146</v>
      </c>
      <c r="C40" s="145">
        <v>158</v>
      </c>
      <c r="D40" s="145">
        <v>183</v>
      </c>
      <c r="E40" s="145">
        <v>181</v>
      </c>
      <c r="F40" s="145">
        <v>229</v>
      </c>
      <c r="G40" s="145">
        <v>309</v>
      </c>
      <c r="H40" s="145">
        <v>360</v>
      </c>
      <c r="I40" s="145">
        <v>367</v>
      </c>
      <c r="J40" s="145">
        <v>214</v>
      </c>
      <c r="K40" s="145">
        <v>170</v>
      </c>
      <c r="L40" s="145">
        <v>148</v>
      </c>
      <c r="M40" s="145">
        <v>164</v>
      </c>
      <c r="N40" s="146">
        <f t="shared" si="1"/>
        <v>2629</v>
      </c>
    </row>
    <row r="41" spans="1:14" s="29" customFormat="1" ht="18" hidden="1" x14ac:dyDescent="0.25">
      <c r="A41" s="31">
        <v>2005</v>
      </c>
      <c r="B41" s="145">
        <v>145</v>
      </c>
      <c r="C41" s="144">
        <v>166</v>
      </c>
      <c r="D41" s="144">
        <v>199</v>
      </c>
      <c r="E41" s="144">
        <v>201</v>
      </c>
      <c r="F41" s="144">
        <v>244</v>
      </c>
      <c r="G41" s="144">
        <v>337</v>
      </c>
      <c r="H41" s="144">
        <v>372</v>
      </c>
      <c r="I41" s="144">
        <v>351</v>
      </c>
      <c r="J41" s="144">
        <v>238</v>
      </c>
      <c r="K41" s="144">
        <v>163</v>
      </c>
      <c r="L41" s="144">
        <v>162</v>
      </c>
      <c r="M41" s="144">
        <v>198</v>
      </c>
      <c r="N41" s="146">
        <f t="shared" si="1"/>
        <v>2776</v>
      </c>
    </row>
    <row r="42" spans="1:14" s="29" customFormat="1" ht="18" hidden="1" x14ac:dyDescent="0.25">
      <c r="A42" s="31">
        <v>2004</v>
      </c>
      <c r="B42" s="145">
        <v>135</v>
      </c>
      <c r="C42" s="144">
        <v>160</v>
      </c>
      <c r="D42" s="144">
        <v>188</v>
      </c>
      <c r="E42" s="144">
        <v>191</v>
      </c>
      <c r="F42" s="144">
        <v>236</v>
      </c>
      <c r="G42" s="144">
        <v>326</v>
      </c>
      <c r="H42" s="144">
        <v>373</v>
      </c>
      <c r="I42" s="144">
        <v>336</v>
      </c>
      <c r="J42" s="144">
        <v>210</v>
      </c>
      <c r="K42" s="144">
        <v>167</v>
      </c>
      <c r="L42" s="144">
        <v>158</v>
      </c>
      <c r="M42" s="144">
        <v>172</v>
      </c>
      <c r="N42" s="146">
        <f t="shared" si="1"/>
        <v>2652</v>
      </c>
    </row>
    <row r="43" spans="1:14" s="29" customFormat="1" ht="18" hidden="1" x14ac:dyDescent="0.25">
      <c r="A43" s="80">
        <v>2003</v>
      </c>
      <c r="B43" s="145">
        <v>131</v>
      </c>
      <c r="C43" s="44">
        <v>176</v>
      </c>
      <c r="D43" s="44">
        <v>184</v>
      </c>
      <c r="E43" s="44">
        <v>206</v>
      </c>
      <c r="F43" s="44">
        <v>218</v>
      </c>
      <c r="G43" s="145">
        <v>315</v>
      </c>
      <c r="H43" s="145">
        <v>339</v>
      </c>
      <c r="I43" s="145">
        <v>317</v>
      </c>
      <c r="J43" s="145">
        <v>245</v>
      </c>
      <c r="K43" s="145">
        <v>179</v>
      </c>
      <c r="L43" s="145">
        <v>108</v>
      </c>
      <c r="M43" s="145">
        <v>191</v>
      </c>
      <c r="N43" s="146">
        <f t="shared" si="1"/>
        <v>2609</v>
      </c>
    </row>
    <row r="44" spans="1:14" s="29" customFormat="1" ht="18" hidden="1" x14ac:dyDescent="0.25">
      <c r="A44" s="31">
        <v>2002</v>
      </c>
      <c r="B44" s="156">
        <v>166</v>
      </c>
      <c r="C44" s="44">
        <v>155</v>
      </c>
      <c r="D44" s="44">
        <v>166</v>
      </c>
      <c r="E44" s="44">
        <v>248</v>
      </c>
      <c r="F44" s="44">
        <v>249</v>
      </c>
      <c r="G44" s="44">
        <v>273</v>
      </c>
      <c r="H44" s="44">
        <v>416</v>
      </c>
      <c r="I44" s="44">
        <v>316</v>
      </c>
      <c r="J44" s="44">
        <v>226</v>
      </c>
      <c r="K44" s="44">
        <v>169</v>
      </c>
      <c r="L44" s="44">
        <v>163</v>
      </c>
      <c r="M44" s="44">
        <v>196</v>
      </c>
      <c r="N44" s="62">
        <f t="shared" si="1"/>
        <v>2743</v>
      </c>
    </row>
    <row r="45" spans="1:14" s="29" customFormat="1" ht="18" hidden="1" x14ac:dyDescent="0.25">
      <c r="A45" s="31">
        <v>2001</v>
      </c>
      <c r="B45" s="44">
        <v>146</v>
      </c>
      <c r="C45" s="44">
        <v>184</v>
      </c>
      <c r="D45" s="44">
        <v>194</v>
      </c>
      <c r="E45" s="44">
        <v>248</v>
      </c>
      <c r="F45" s="44">
        <v>234</v>
      </c>
      <c r="G45" s="44">
        <v>309</v>
      </c>
      <c r="H45" s="44">
        <v>425</v>
      </c>
      <c r="I45" s="44">
        <v>363</v>
      </c>
      <c r="J45" s="44">
        <v>227</v>
      </c>
      <c r="K45" s="44">
        <v>177</v>
      </c>
      <c r="L45" s="44">
        <v>150</v>
      </c>
      <c r="M45" s="44">
        <v>183</v>
      </c>
      <c r="N45" s="62">
        <f t="shared" si="1"/>
        <v>2840</v>
      </c>
    </row>
    <row r="46" spans="1:14" s="29" customFormat="1" ht="18" hidden="1" x14ac:dyDescent="0.25">
      <c r="A46" s="31">
        <v>2000</v>
      </c>
      <c r="B46" s="44">
        <v>156</v>
      </c>
      <c r="C46" s="44">
        <v>201</v>
      </c>
      <c r="D46" s="44">
        <v>207</v>
      </c>
      <c r="E46" s="44">
        <v>183</v>
      </c>
      <c r="F46" s="44">
        <v>255</v>
      </c>
      <c r="G46" s="44">
        <v>352</v>
      </c>
      <c r="H46" s="44">
        <v>352</v>
      </c>
      <c r="I46" s="44">
        <v>346</v>
      </c>
      <c r="J46" s="44">
        <v>273</v>
      </c>
      <c r="K46" s="44">
        <v>171</v>
      </c>
      <c r="L46" s="44">
        <v>152</v>
      </c>
      <c r="M46" s="44">
        <v>196</v>
      </c>
      <c r="N46" s="62">
        <f t="shared" si="1"/>
        <v>2844</v>
      </c>
    </row>
    <row r="47" spans="1:14" s="29" customFormat="1" ht="15" hidden="1" customHeight="1" x14ac:dyDescent="0.25">
      <c r="A47" s="47">
        <v>1999</v>
      </c>
      <c r="B47" s="63">
        <v>153</v>
      </c>
      <c r="C47" s="63">
        <v>197</v>
      </c>
      <c r="D47" s="63">
        <v>219</v>
      </c>
      <c r="E47" s="63">
        <v>233</v>
      </c>
      <c r="F47" s="63">
        <v>236</v>
      </c>
      <c r="G47" s="63">
        <v>354</v>
      </c>
      <c r="H47" s="63">
        <v>425</v>
      </c>
      <c r="I47" s="63">
        <v>407</v>
      </c>
      <c r="J47" s="63">
        <v>250</v>
      </c>
      <c r="K47" s="63">
        <v>178</v>
      </c>
      <c r="L47" s="63">
        <v>189</v>
      </c>
      <c r="M47" s="63">
        <v>180</v>
      </c>
      <c r="N47" s="62">
        <f t="shared" si="1"/>
        <v>3021</v>
      </c>
    </row>
    <row r="48" spans="1:14" s="29" customFormat="1" ht="18" x14ac:dyDescent="0.25">
      <c r="A48" s="47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2"/>
    </row>
    <row r="49" spans="1:14" s="29" customFormat="1" ht="18" x14ac:dyDescent="0.25">
      <c r="A49" s="64" t="s">
        <v>110</v>
      </c>
      <c r="K49" s="48"/>
      <c r="L49" s="48"/>
    </row>
    <row r="50" spans="1:14" s="29" customFormat="1" ht="18" x14ac:dyDescent="0.25">
      <c r="A50" s="170">
        <v>2020</v>
      </c>
      <c r="B50" s="180">
        <f t="shared" ref="B50:B59" si="2">B26</f>
        <v>138</v>
      </c>
      <c r="C50" s="180">
        <f t="shared" ref="C50:M51" si="3">C26+B50</f>
        <v>315</v>
      </c>
      <c r="D50" s="180">
        <f t="shared" si="3"/>
        <v>444</v>
      </c>
      <c r="E50" s="180">
        <f t="shared" si="3"/>
        <v>569</v>
      </c>
      <c r="F50" s="180">
        <f t="shared" si="3"/>
        <v>719</v>
      </c>
      <c r="G50" s="180">
        <f t="shared" si="3"/>
        <v>938</v>
      </c>
      <c r="H50" s="180">
        <f t="shared" si="3"/>
        <v>1259</v>
      </c>
      <c r="I50" s="180">
        <f t="shared" si="3"/>
        <v>1562</v>
      </c>
      <c r="J50" s="180"/>
      <c r="K50" s="180"/>
      <c r="L50" s="180"/>
      <c r="M50" s="180"/>
    </row>
    <row r="51" spans="1:14" s="29" customFormat="1" ht="18" x14ac:dyDescent="0.25">
      <c r="A51" s="80">
        <v>2019</v>
      </c>
      <c r="B51" s="181">
        <f t="shared" si="2"/>
        <v>143</v>
      </c>
      <c r="C51" s="181">
        <f t="shared" si="3"/>
        <v>309</v>
      </c>
      <c r="D51" s="181">
        <f t="shared" si="3"/>
        <v>490</v>
      </c>
      <c r="E51" s="181">
        <f t="shared" si="3"/>
        <v>693</v>
      </c>
      <c r="F51" s="181">
        <f t="shared" si="3"/>
        <v>979</v>
      </c>
      <c r="G51" s="181">
        <f t="shared" si="3"/>
        <v>1304</v>
      </c>
      <c r="H51" s="181">
        <f t="shared" si="3"/>
        <v>1710</v>
      </c>
      <c r="I51" s="181">
        <f t="shared" si="3"/>
        <v>2109</v>
      </c>
      <c r="J51" s="181">
        <f t="shared" si="3"/>
        <v>2381</v>
      </c>
      <c r="K51" s="181">
        <f t="shared" si="3"/>
        <v>2579</v>
      </c>
      <c r="L51" s="181">
        <f t="shared" si="3"/>
        <v>2715</v>
      </c>
      <c r="M51" s="181">
        <f t="shared" si="3"/>
        <v>2905</v>
      </c>
    </row>
    <row r="52" spans="1:14" s="29" customFormat="1" ht="18" x14ac:dyDescent="0.25">
      <c r="A52" s="80">
        <v>2018</v>
      </c>
      <c r="B52" s="181">
        <f t="shared" si="2"/>
        <v>158</v>
      </c>
      <c r="C52" s="181">
        <f t="shared" ref="C52:M52" si="4">C28+B52</f>
        <v>297</v>
      </c>
      <c r="D52" s="181">
        <f t="shared" si="4"/>
        <v>488</v>
      </c>
      <c r="E52" s="181">
        <f t="shared" si="4"/>
        <v>668</v>
      </c>
      <c r="F52" s="181">
        <f t="shared" si="4"/>
        <v>932</v>
      </c>
      <c r="G52" s="181">
        <f t="shared" si="4"/>
        <v>1316</v>
      </c>
      <c r="H52" s="181">
        <f t="shared" si="4"/>
        <v>1735</v>
      </c>
      <c r="I52" s="181">
        <f t="shared" si="4"/>
        <v>2165</v>
      </c>
      <c r="J52" s="181">
        <f t="shared" si="4"/>
        <v>2421</v>
      </c>
      <c r="K52" s="181">
        <f t="shared" si="4"/>
        <v>2628</v>
      </c>
      <c r="L52" s="181">
        <f t="shared" si="4"/>
        <v>2779</v>
      </c>
      <c r="M52" s="181">
        <f t="shared" si="4"/>
        <v>2959</v>
      </c>
    </row>
    <row r="53" spans="1:14" s="29" customFormat="1" ht="18" x14ac:dyDescent="0.25">
      <c r="A53" s="80">
        <v>2017</v>
      </c>
      <c r="B53" s="181">
        <f t="shared" si="2"/>
        <v>142</v>
      </c>
      <c r="C53" s="181">
        <f t="shared" ref="C53:M53" si="5">C29+B53</f>
        <v>313</v>
      </c>
      <c r="D53" s="181">
        <f t="shared" si="5"/>
        <v>546</v>
      </c>
      <c r="E53" s="181">
        <f t="shared" si="5"/>
        <v>717</v>
      </c>
      <c r="F53" s="181">
        <f t="shared" si="5"/>
        <v>955</v>
      </c>
      <c r="G53" s="181">
        <f t="shared" si="5"/>
        <v>1354</v>
      </c>
      <c r="H53" s="181">
        <f t="shared" si="5"/>
        <v>1753</v>
      </c>
      <c r="I53" s="181">
        <f t="shared" si="5"/>
        <v>2175</v>
      </c>
      <c r="J53" s="181">
        <f t="shared" si="5"/>
        <v>2517</v>
      </c>
      <c r="K53" s="181">
        <f t="shared" si="5"/>
        <v>2723</v>
      </c>
      <c r="L53" s="181">
        <f t="shared" si="5"/>
        <v>2875</v>
      </c>
      <c r="M53" s="181">
        <f t="shared" si="5"/>
        <v>3052</v>
      </c>
    </row>
    <row r="54" spans="1:14" s="39" customFormat="1" ht="18" x14ac:dyDescent="0.25">
      <c r="A54" s="80">
        <v>2016</v>
      </c>
      <c r="B54" s="181">
        <f t="shared" si="2"/>
        <v>161</v>
      </c>
      <c r="C54" s="181">
        <f t="shared" ref="C54:M54" si="6">C30+B54</f>
        <v>315</v>
      </c>
      <c r="D54" s="181">
        <f t="shared" si="6"/>
        <v>530</v>
      </c>
      <c r="E54" s="181">
        <f t="shared" si="6"/>
        <v>710</v>
      </c>
      <c r="F54" s="181">
        <f t="shared" si="6"/>
        <v>1003</v>
      </c>
      <c r="G54" s="181">
        <f t="shared" si="6"/>
        <v>1316</v>
      </c>
      <c r="H54" s="181">
        <f t="shared" si="6"/>
        <v>1689</v>
      </c>
      <c r="I54" s="181">
        <f t="shared" si="6"/>
        <v>2080</v>
      </c>
      <c r="J54" s="181">
        <f t="shared" si="6"/>
        <v>2347</v>
      </c>
      <c r="K54" s="181">
        <f t="shared" si="6"/>
        <v>2524</v>
      </c>
      <c r="L54" s="181">
        <f t="shared" si="6"/>
        <v>2702</v>
      </c>
      <c r="M54" s="181">
        <f t="shared" si="6"/>
        <v>2884</v>
      </c>
    </row>
    <row r="55" spans="1:14" s="29" customFormat="1" ht="18" hidden="1" x14ac:dyDescent="0.25">
      <c r="A55" s="31">
        <v>2015</v>
      </c>
      <c r="B55" s="181">
        <f t="shared" si="2"/>
        <v>130</v>
      </c>
      <c r="C55" s="181">
        <f t="shared" ref="C55:M55" si="7">C31+B55</f>
        <v>274</v>
      </c>
      <c r="D55" s="181">
        <f t="shared" si="7"/>
        <v>473</v>
      </c>
      <c r="E55" s="181">
        <f t="shared" si="7"/>
        <v>658</v>
      </c>
      <c r="F55" s="181">
        <f t="shared" si="7"/>
        <v>867</v>
      </c>
      <c r="G55" s="181">
        <f t="shared" si="7"/>
        <v>1209</v>
      </c>
      <c r="H55" s="181">
        <f t="shared" si="7"/>
        <v>1629</v>
      </c>
      <c r="I55" s="181">
        <f t="shared" si="7"/>
        <v>2006</v>
      </c>
      <c r="J55" s="181">
        <f t="shared" si="7"/>
        <v>2283</v>
      </c>
      <c r="K55" s="181">
        <f t="shared" si="7"/>
        <v>2477</v>
      </c>
      <c r="L55" s="181">
        <f t="shared" si="7"/>
        <v>2634</v>
      </c>
      <c r="M55" s="181">
        <f t="shared" si="7"/>
        <v>2813</v>
      </c>
    </row>
    <row r="56" spans="1:14" s="29" customFormat="1" ht="18" hidden="1" x14ac:dyDescent="0.25">
      <c r="A56" s="31">
        <v>2014</v>
      </c>
      <c r="B56" s="181">
        <f t="shared" si="2"/>
        <v>227</v>
      </c>
      <c r="C56" s="181">
        <f t="shared" ref="C56:M56" si="8">C32+B56</f>
        <v>440</v>
      </c>
      <c r="D56" s="181">
        <f t="shared" si="8"/>
        <v>690</v>
      </c>
      <c r="E56" s="181">
        <f t="shared" si="8"/>
        <v>927</v>
      </c>
      <c r="F56" s="181">
        <f t="shared" si="8"/>
        <v>1194</v>
      </c>
      <c r="G56" s="181">
        <f t="shared" si="8"/>
        <v>1450</v>
      </c>
      <c r="H56" s="181">
        <f t="shared" si="8"/>
        <v>1865</v>
      </c>
      <c r="I56" s="181">
        <f t="shared" si="8"/>
        <v>2241</v>
      </c>
      <c r="J56" s="181">
        <f t="shared" si="8"/>
        <v>2488</v>
      </c>
      <c r="K56" s="181">
        <f t="shared" si="8"/>
        <v>2664</v>
      </c>
      <c r="L56" s="181">
        <f t="shared" si="8"/>
        <v>2795</v>
      </c>
      <c r="M56" s="181">
        <f t="shared" si="8"/>
        <v>2988</v>
      </c>
      <c r="N56" s="39"/>
    </row>
    <row r="57" spans="1:14" s="29" customFormat="1" ht="18" hidden="1" x14ac:dyDescent="0.25">
      <c r="A57" s="31">
        <v>2013</v>
      </c>
      <c r="B57" s="181">
        <f t="shared" si="2"/>
        <v>151</v>
      </c>
      <c r="C57" s="181">
        <f t="shared" ref="C57:M57" si="9">C33+B57</f>
        <v>312</v>
      </c>
      <c r="D57" s="181">
        <f t="shared" si="9"/>
        <v>499</v>
      </c>
      <c r="E57" s="181">
        <f t="shared" si="9"/>
        <v>725</v>
      </c>
      <c r="F57" s="181">
        <f t="shared" si="9"/>
        <v>992</v>
      </c>
      <c r="G57" s="181">
        <f t="shared" si="9"/>
        <v>1328</v>
      </c>
      <c r="H57" s="181">
        <f t="shared" si="9"/>
        <v>1889</v>
      </c>
      <c r="I57" s="181">
        <f t="shared" si="9"/>
        <v>2435</v>
      </c>
      <c r="J57" s="181">
        <f t="shared" si="9"/>
        <v>2899</v>
      </c>
      <c r="K57" s="181">
        <f t="shared" si="9"/>
        <v>3316</v>
      </c>
      <c r="L57" s="181">
        <f t="shared" si="9"/>
        <v>3460</v>
      </c>
      <c r="M57" s="181">
        <f t="shared" si="9"/>
        <v>3886</v>
      </c>
    </row>
    <row r="58" spans="1:14" s="29" customFormat="1" ht="18" hidden="1" x14ac:dyDescent="0.25">
      <c r="A58" s="31">
        <v>2012</v>
      </c>
      <c r="B58" s="179">
        <f t="shared" si="2"/>
        <v>119</v>
      </c>
      <c r="C58" s="179">
        <f t="shared" ref="C58:M58" si="10">B58+C34</f>
        <v>284</v>
      </c>
      <c r="D58" s="179">
        <f t="shared" si="10"/>
        <v>440</v>
      </c>
      <c r="E58" s="179">
        <f t="shared" si="10"/>
        <v>582</v>
      </c>
      <c r="F58" s="179">
        <f t="shared" si="10"/>
        <v>776</v>
      </c>
      <c r="G58" s="179">
        <f t="shared" si="10"/>
        <v>1110</v>
      </c>
      <c r="H58" s="179">
        <f t="shared" si="10"/>
        <v>1544</v>
      </c>
      <c r="I58" s="179">
        <f t="shared" si="10"/>
        <v>1880</v>
      </c>
      <c r="J58" s="179">
        <f t="shared" si="10"/>
        <v>2112</v>
      </c>
      <c r="K58" s="179">
        <f t="shared" si="10"/>
        <v>2269</v>
      </c>
      <c r="L58" s="179">
        <f t="shared" si="10"/>
        <v>2433</v>
      </c>
      <c r="M58" s="179">
        <f t="shared" si="10"/>
        <v>2766</v>
      </c>
    </row>
    <row r="59" spans="1:14" s="29" customFormat="1" ht="18" hidden="1" x14ac:dyDescent="0.25">
      <c r="A59" s="31">
        <v>2011</v>
      </c>
      <c r="B59" s="154">
        <f t="shared" si="2"/>
        <v>153</v>
      </c>
      <c r="C59" s="154">
        <f t="shared" ref="C59:M59" si="11">C35+B59</f>
        <v>275</v>
      </c>
      <c r="D59" s="154">
        <f t="shared" si="11"/>
        <v>425</v>
      </c>
      <c r="E59" s="154">
        <f t="shared" si="11"/>
        <v>586</v>
      </c>
      <c r="F59" s="154">
        <f t="shared" si="11"/>
        <v>783</v>
      </c>
      <c r="G59" s="154">
        <f t="shared" si="11"/>
        <v>1095</v>
      </c>
      <c r="H59" s="154">
        <f t="shared" si="11"/>
        <v>1445</v>
      </c>
      <c r="I59" s="154">
        <f t="shared" si="11"/>
        <v>1796</v>
      </c>
      <c r="J59" s="154">
        <f t="shared" si="11"/>
        <v>2015</v>
      </c>
      <c r="K59" s="154">
        <f t="shared" si="11"/>
        <v>2181</v>
      </c>
      <c r="L59" s="154">
        <f t="shared" si="11"/>
        <v>2325</v>
      </c>
      <c r="M59" s="154">
        <f t="shared" si="11"/>
        <v>2500</v>
      </c>
    </row>
    <row r="60" spans="1:14" s="29" customFormat="1" ht="18" hidden="1" x14ac:dyDescent="0.25">
      <c r="A60" s="72">
        <v>2010</v>
      </c>
      <c r="B60" s="145">
        <v>114</v>
      </c>
      <c r="C60" s="145">
        <f t="shared" ref="C60:M60" si="12">B60+C36</f>
        <v>252</v>
      </c>
      <c r="D60" s="145">
        <f t="shared" si="12"/>
        <v>430</v>
      </c>
      <c r="E60" s="145">
        <f t="shared" si="12"/>
        <v>634</v>
      </c>
      <c r="F60" s="145">
        <f t="shared" si="12"/>
        <v>818</v>
      </c>
      <c r="G60" s="145">
        <f t="shared" si="12"/>
        <v>1120</v>
      </c>
      <c r="H60" s="145">
        <f t="shared" si="12"/>
        <v>1501</v>
      </c>
      <c r="I60" s="145">
        <f t="shared" si="12"/>
        <v>1845</v>
      </c>
      <c r="J60" s="145">
        <f t="shared" si="12"/>
        <v>2079</v>
      </c>
      <c r="K60" s="145">
        <f t="shared" si="12"/>
        <v>2228</v>
      </c>
      <c r="L60" s="145">
        <f t="shared" si="12"/>
        <v>2352</v>
      </c>
      <c r="M60" s="145">
        <f t="shared" si="12"/>
        <v>2501</v>
      </c>
      <c r="N60" s="80"/>
    </row>
    <row r="61" spans="1:14" s="29" customFormat="1" ht="18" hidden="1" x14ac:dyDescent="0.25">
      <c r="A61" s="31">
        <v>2009</v>
      </c>
      <c r="B61" s="146">
        <f>B37</f>
        <v>136</v>
      </c>
      <c r="C61" s="154">
        <f t="shared" ref="C61:M61" si="13">C37+B61</f>
        <v>304</v>
      </c>
      <c r="D61" s="154">
        <f t="shared" si="13"/>
        <v>487</v>
      </c>
      <c r="E61" s="154">
        <f t="shared" si="13"/>
        <v>665</v>
      </c>
      <c r="F61" s="154">
        <f t="shared" si="13"/>
        <v>885</v>
      </c>
      <c r="G61" s="154">
        <f t="shared" si="13"/>
        <v>1173</v>
      </c>
      <c r="H61" s="154">
        <f t="shared" si="13"/>
        <v>1529</v>
      </c>
      <c r="I61" s="154">
        <f t="shared" si="13"/>
        <v>1890</v>
      </c>
      <c r="J61" s="154">
        <f t="shared" si="13"/>
        <v>2126</v>
      </c>
      <c r="K61" s="154">
        <f t="shared" si="13"/>
        <v>2337</v>
      </c>
      <c r="L61" s="154">
        <f t="shared" si="13"/>
        <v>2462</v>
      </c>
      <c r="M61" s="154">
        <f t="shared" si="13"/>
        <v>2620</v>
      </c>
    </row>
    <row r="62" spans="1:14" s="29" customFormat="1" ht="18" hidden="1" x14ac:dyDescent="0.25">
      <c r="A62" s="31">
        <v>2008</v>
      </c>
      <c r="B62" s="154">
        <v>142</v>
      </c>
      <c r="C62" s="154">
        <f t="shared" ref="C62:M62" si="14">C38+B62</f>
        <v>324</v>
      </c>
      <c r="D62" s="154">
        <f t="shared" si="14"/>
        <v>489</v>
      </c>
      <c r="E62" s="154">
        <f t="shared" si="14"/>
        <v>657</v>
      </c>
      <c r="F62" s="154">
        <f t="shared" si="14"/>
        <v>888</v>
      </c>
      <c r="G62" s="154">
        <f t="shared" si="14"/>
        <v>1127</v>
      </c>
      <c r="H62" s="154">
        <f t="shared" si="14"/>
        <v>1515</v>
      </c>
      <c r="I62" s="154">
        <f t="shared" si="14"/>
        <v>1853</v>
      </c>
      <c r="J62" s="154">
        <f t="shared" si="14"/>
        <v>2081</v>
      </c>
      <c r="K62" s="154">
        <f t="shared" si="14"/>
        <v>2293</v>
      </c>
      <c r="L62" s="154">
        <f t="shared" si="14"/>
        <v>2427</v>
      </c>
      <c r="M62" s="154">
        <f t="shared" si="14"/>
        <v>2618</v>
      </c>
    </row>
    <row r="63" spans="1:14" s="29" customFormat="1" ht="18" hidden="1" x14ac:dyDescent="0.25">
      <c r="A63" s="31">
        <v>2007</v>
      </c>
      <c r="B63" s="154">
        <v>147</v>
      </c>
      <c r="C63" s="154">
        <f t="shared" ref="C63:M63" si="15">C39+B63</f>
        <v>305</v>
      </c>
      <c r="D63" s="154">
        <f t="shared" si="15"/>
        <v>484</v>
      </c>
      <c r="E63" s="154">
        <f t="shared" si="15"/>
        <v>663</v>
      </c>
      <c r="F63" s="154">
        <f t="shared" si="15"/>
        <v>935</v>
      </c>
      <c r="G63" s="154">
        <f t="shared" si="15"/>
        <v>1305</v>
      </c>
      <c r="H63" s="154">
        <f t="shared" si="15"/>
        <v>1664</v>
      </c>
      <c r="I63" s="154">
        <f t="shared" si="15"/>
        <v>2020</v>
      </c>
      <c r="J63" s="154">
        <f t="shared" si="15"/>
        <v>2206</v>
      </c>
      <c r="K63" s="154">
        <f t="shared" si="15"/>
        <v>2387</v>
      </c>
      <c r="L63" s="154">
        <f t="shared" si="15"/>
        <v>2530</v>
      </c>
      <c r="M63" s="154">
        <f t="shared" si="15"/>
        <v>2711</v>
      </c>
    </row>
    <row r="64" spans="1:14" s="39" customFormat="1" ht="16.5" hidden="1" customHeight="1" x14ac:dyDescent="0.25">
      <c r="A64" s="80">
        <v>2006</v>
      </c>
      <c r="B64" s="154">
        <f>B40</f>
        <v>146</v>
      </c>
      <c r="C64" s="32">
        <f t="shared" ref="C64:M64" si="16">C40+B64</f>
        <v>304</v>
      </c>
      <c r="D64" s="32">
        <f t="shared" si="16"/>
        <v>487</v>
      </c>
      <c r="E64" s="32">
        <f t="shared" si="16"/>
        <v>668</v>
      </c>
      <c r="F64" s="32">
        <f t="shared" si="16"/>
        <v>897</v>
      </c>
      <c r="G64" s="32">
        <f t="shared" si="16"/>
        <v>1206</v>
      </c>
      <c r="H64" s="32">
        <f t="shared" si="16"/>
        <v>1566</v>
      </c>
      <c r="I64" s="32">
        <f t="shared" si="16"/>
        <v>1933</v>
      </c>
      <c r="J64" s="32">
        <f t="shared" si="16"/>
        <v>2147</v>
      </c>
      <c r="K64" s="32">
        <f t="shared" si="16"/>
        <v>2317</v>
      </c>
      <c r="L64" s="32">
        <f t="shared" si="16"/>
        <v>2465</v>
      </c>
      <c r="M64" s="32">
        <f t="shared" si="16"/>
        <v>2629</v>
      </c>
      <c r="N64" s="29"/>
    </row>
    <row r="65" spans="1:14" s="29" customFormat="1" ht="18" hidden="1" x14ac:dyDescent="0.25">
      <c r="A65" s="80">
        <v>2005</v>
      </c>
      <c r="B65" s="154">
        <f>B41</f>
        <v>145</v>
      </c>
      <c r="C65" s="32">
        <f t="shared" ref="C65:M65" si="17">B65+C41</f>
        <v>311</v>
      </c>
      <c r="D65" s="32">
        <f t="shared" si="17"/>
        <v>510</v>
      </c>
      <c r="E65" s="32">
        <f t="shared" si="17"/>
        <v>711</v>
      </c>
      <c r="F65" s="32">
        <f t="shared" si="17"/>
        <v>955</v>
      </c>
      <c r="G65" s="32">
        <f t="shared" si="17"/>
        <v>1292</v>
      </c>
      <c r="H65" s="32">
        <f t="shared" si="17"/>
        <v>1664</v>
      </c>
      <c r="I65" s="32">
        <f t="shared" si="17"/>
        <v>2015</v>
      </c>
      <c r="J65" s="32">
        <f t="shared" si="17"/>
        <v>2253</v>
      </c>
      <c r="K65" s="32">
        <f t="shared" si="17"/>
        <v>2416</v>
      </c>
      <c r="L65" s="32">
        <f t="shared" si="17"/>
        <v>2578</v>
      </c>
      <c r="M65" s="32">
        <f t="shared" si="17"/>
        <v>2776</v>
      </c>
      <c r="N65" s="39"/>
    </row>
    <row r="66" spans="1:14" s="29" customFormat="1" ht="18" hidden="1" x14ac:dyDescent="0.25">
      <c r="A66" s="80">
        <v>2004</v>
      </c>
      <c r="B66" s="32">
        <v>135</v>
      </c>
      <c r="C66" s="32">
        <f t="shared" ref="C66:M66" si="18">B66+C42</f>
        <v>295</v>
      </c>
      <c r="D66" s="32">
        <f t="shared" si="18"/>
        <v>483</v>
      </c>
      <c r="E66" s="32">
        <f t="shared" si="18"/>
        <v>674</v>
      </c>
      <c r="F66" s="32">
        <f t="shared" si="18"/>
        <v>910</v>
      </c>
      <c r="G66" s="32">
        <f t="shared" si="18"/>
        <v>1236</v>
      </c>
      <c r="H66" s="32">
        <f t="shared" si="18"/>
        <v>1609</v>
      </c>
      <c r="I66" s="32">
        <f t="shared" si="18"/>
        <v>1945</v>
      </c>
      <c r="J66" s="32">
        <f t="shared" si="18"/>
        <v>2155</v>
      </c>
      <c r="K66" s="32">
        <f t="shared" si="18"/>
        <v>2322</v>
      </c>
      <c r="L66" s="32">
        <f t="shared" si="18"/>
        <v>2480</v>
      </c>
      <c r="M66" s="32">
        <f t="shared" si="18"/>
        <v>2652</v>
      </c>
    </row>
    <row r="67" spans="1:14" s="29" customFormat="1" ht="18" hidden="1" x14ac:dyDescent="0.25">
      <c r="A67" s="31">
        <v>2003</v>
      </c>
      <c r="B67" s="32">
        <v>131</v>
      </c>
      <c r="C67" s="32">
        <f t="shared" ref="C67:M67" si="19">B67+C43</f>
        <v>307</v>
      </c>
      <c r="D67" s="32">
        <f t="shared" si="19"/>
        <v>491</v>
      </c>
      <c r="E67" s="32">
        <f t="shared" si="19"/>
        <v>697</v>
      </c>
      <c r="F67" s="32">
        <f t="shared" si="19"/>
        <v>915</v>
      </c>
      <c r="G67" s="32">
        <f t="shared" si="19"/>
        <v>1230</v>
      </c>
      <c r="H67" s="32">
        <f t="shared" si="19"/>
        <v>1569</v>
      </c>
      <c r="I67" s="32">
        <f t="shared" si="19"/>
        <v>1886</v>
      </c>
      <c r="J67" s="32">
        <f t="shared" si="19"/>
        <v>2131</v>
      </c>
      <c r="K67" s="32">
        <f t="shared" si="19"/>
        <v>2310</v>
      </c>
      <c r="L67" s="32">
        <f t="shared" si="19"/>
        <v>2418</v>
      </c>
      <c r="M67" s="32">
        <f t="shared" si="19"/>
        <v>2609</v>
      </c>
    </row>
    <row r="68" spans="1:14" s="29" customFormat="1" ht="18" hidden="1" x14ac:dyDescent="0.25">
      <c r="A68" s="31">
        <v>2002</v>
      </c>
      <c r="B68" s="33">
        <v>166</v>
      </c>
      <c r="C68" s="44">
        <f t="shared" ref="C68:M68" si="20">+B68+C44</f>
        <v>321</v>
      </c>
      <c r="D68" s="44">
        <f t="shared" si="20"/>
        <v>487</v>
      </c>
      <c r="E68" s="44">
        <f t="shared" si="20"/>
        <v>735</v>
      </c>
      <c r="F68" s="44">
        <f t="shared" si="20"/>
        <v>984</v>
      </c>
      <c r="G68" s="44">
        <f t="shared" si="20"/>
        <v>1257</v>
      </c>
      <c r="H68" s="44">
        <f t="shared" si="20"/>
        <v>1673</v>
      </c>
      <c r="I68" s="44">
        <f t="shared" si="20"/>
        <v>1989</v>
      </c>
      <c r="J68" s="44">
        <f t="shared" si="20"/>
        <v>2215</v>
      </c>
      <c r="K68" s="44">
        <f t="shared" si="20"/>
        <v>2384</v>
      </c>
      <c r="L68" s="44">
        <f t="shared" si="20"/>
        <v>2547</v>
      </c>
      <c r="M68" s="44">
        <f t="shared" si="20"/>
        <v>2743</v>
      </c>
      <c r="N68" s="65"/>
    </row>
    <row r="69" spans="1:14" s="29" customFormat="1" ht="18" hidden="1" x14ac:dyDescent="0.25">
      <c r="A69" s="31">
        <v>2001</v>
      </c>
      <c r="B69" s="33">
        <v>146</v>
      </c>
      <c r="C69" s="44">
        <f t="shared" ref="C69:M69" si="21">+B69+C45</f>
        <v>330</v>
      </c>
      <c r="D69" s="44">
        <f t="shared" si="21"/>
        <v>524</v>
      </c>
      <c r="E69" s="44">
        <f t="shared" si="21"/>
        <v>772</v>
      </c>
      <c r="F69" s="44">
        <f t="shared" si="21"/>
        <v>1006</v>
      </c>
      <c r="G69" s="44">
        <f t="shared" si="21"/>
        <v>1315</v>
      </c>
      <c r="H69" s="44">
        <f t="shared" si="21"/>
        <v>1740</v>
      </c>
      <c r="I69" s="44">
        <f t="shared" si="21"/>
        <v>2103</v>
      </c>
      <c r="J69" s="44">
        <f t="shared" si="21"/>
        <v>2330</v>
      </c>
      <c r="K69" s="44">
        <f t="shared" si="21"/>
        <v>2507</v>
      </c>
      <c r="L69" s="44">
        <f t="shared" si="21"/>
        <v>2657</v>
      </c>
      <c r="M69" s="44">
        <f t="shared" si="21"/>
        <v>2840</v>
      </c>
      <c r="N69" s="65"/>
    </row>
    <row r="70" spans="1:14" s="29" customFormat="1" ht="19.5" hidden="1" customHeight="1" x14ac:dyDescent="0.25">
      <c r="A70" s="31">
        <v>2000</v>
      </c>
      <c r="B70" s="33">
        <v>156</v>
      </c>
      <c r="C70" s="44">
        <f t="shared" ref="C70:M70" si="22">+B70+C46</f>
        <v>357</v>
      </c>
      <c r="D70" s="44">
        <f t="shared" si="22"/>
        <v>564</v>
      </c>
      <c r="E70" s="44">
        <f t="shared" si="22"/>
        <v>747</v>
      </c>
      <c r="F70" s="44">
        <f t="shared" si="22"/>
        <v>1002</v>
      </c>
      <c r="G70" s="44">
        <f t="shared" si="22"/>
        <v>1354</v>
      </c>
      <c r="H70" s="44">
        <f t="shared" si="22"/>
        <v>1706</v>
      </c>
      <c r="I70" s="44">
        <f t="shared" si="22"/>
        <v>2052</v>
      </c>
      <c r="J70" s="44">
        <f t="shared" si="22"/>
        <v>2325</v>
      </c>
      <c r="K70" s="44">
        <f t="shared" si="22"/>
        <v>2496</v>
      </c>
      <c r="L70" s="44">
        <f t="shared" si="22"/>
        <v>2648</v>
      </c>
      <c r="M70" s="44">
        <f t="shared" si="22"/>
        <v>2844</v>
      </c>
    </row>
    <row r="71" spans="1:14" s="29" customFormat="1" ht="18" hidden="1" x14ac:dyDescent="0.25">
      <c r="A71" s="47">
        <v>1999</v>
      </c>
      <c r="B71" s="66">
        <v>153</v>
      </c>
      <c r="C71" s="46">
        <f t="shared" ref="C71:M71" si="23">+B71+C47</f>
        <v>350</v>
      </c>
      <c r="D71" s="46">
        <f t="shared" si="23"/>
        <v>569</v>
      </c>
      <c r="E71" s="46">
        <f t="shared" si="23"/>
        <v>802</v>
      </c>
      <c r="F71" s="46">
        <f t="shared" si="23"/>
        <v>1038</v>
      </c>
      <c r="G71" s="46">
        <f t="shared" si="23"/>
        <v>1392</v>
      </c>
      <c r="H71" s="46">
        <f t="shared" si="23"/>
        <v>1817</v>
      </c>
      <c r="I71" s="46">
        <f t="shared" si="23"/>
        <v>2224</v>
      </c>
      <c r="J71" s="46">
        <f t="shared" si="23"/>
        <v>2474</v>
      </c>
      <c r="K71" s="46">
        <f t="shared" si="23"/>
        <v>2652</v>
      </c>
      <c r="L71" s="46">
        <f t="shared" si="23"/>
        <v>2841</v>
      </c>
      <c r="M71" s="46">
        <f t="shared" si="23"/>
        <v>3021</v>
      </c>
    </row>
    <row r="72" spans="1:14" s="29" customFormat="1" ht="18" x14ac:dyDescent="0.25">
      <c r="A72" s="47"/>
      <c r="B72" s="6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4" s="29" customFormat="1" ht="18" x14ac:dyDescent="0.25">
      <c r="A73" s="67" t="s">
        <v>112</v>
      </c>
      <c r="K73" s="48"/>
      <c r="L73" s="48"/>
    </row>
    <row r="74" spans="1:14" s="29" customFormat="1" ht="18" x14ac:dyDescent="0.25">
      <c r="A74" s="36">
        <v>2020</v>
      </c>
      <c r="B74" s="58">
        <f t="shared" ref="B74:B94" si="24">(B26-M27)/M27</f>
        <v>-0.27368421052631581</v>
      </c>
      <c r="C74" s="58">
        <f t="shared" ref="C74:M75" si="25">(C26-B26)/B26</f>
        <v>0.28260869565217389</v>
      </c>
      <c r="D74" s="58">
        <f t="shared" si="25"/>
        <v>-0.2711864406779661</v>
      </c>
      <c r="E74" s="58">
        <f t="shared" si="25"/>
        <v>-3.1007751937984496E-2</v>
      </c>
      <c r="F74" s="58">
        <f t="shared" si="25"/>
        <v>0.2</v>
      </c>
      <c r="G74" s="58">
        <f t="shared" si="25"/>
        <v>0.46</v>
      </c>
      <c r="H74" s="58">
        <f t="shared" si="25"/>
        <v>0.46575342465753422</v>
      </c>
      <c r="I74" s="58">
        <f t="shared" si="25"/>
        <v>-5.6074766355140186E-2</v>
      </c>
      <c r="J74" s="58"/>
      <c r="K74" s="58"/>
      <c r="L74" s="58"/>
      <c r="M74" s="58"/>
    </row>
    <row r="75" spans="1:14" s="29" customFormat="1" ht="18" x14ac:dyDescent="0.25">
      <c r="A75" s="76">
        <v>2019</v>
      </c>
      <c r="B75" s="59">
        <f t="shared" si="24"/>
        <v>-0.20555555555555555</v>
      </c>
      <c r="C75" s="59">
        <f t="shared" si="25"/>
        <v>0.16083916083916083</v>
      </c>
      <c r="D75" s="59">
        <f t="shared" si="25"/>
        <v>9.036144578313253E-2</v>
      </c>
      <c r="E75" s="59">
        <f t="shared" si="25"/>
        <v>0.12154696132596685</v>
      </c>
      <c r="F75" s="59">
        <f t="shared" si="25"/>
        <v>0.40886699507389163</v>
      </c>
      <c r="G75" s="59">
        <f t="shared" si="25"/>
        <v>0.13636363636363635</v>
      </c>
      <c r="H75" s="59">
        <f t="shared" si="25"/>
        <v>0.24923076923076923</v>
      </c>
      <c r="I75" s="59">
        <f t="shared" si="25"/>
        <v>-1.7241379310344827E-2</v>
      </c>
      <c r="J75" s="59">
        <f t="shared" si="25"/>
        <v>-0.31829573934837091</v>
      </c>
      <c r="K75" s="59">
        <f t="shared" si="25"/>
        <v>-0.27205882352941174</v>
      </c>
      <c r="L75" s="59">
        <f t="shared" si="25"/>
        <v>-0.31313131313131315</v>
      </c>
      <c r="M75" s="59">
        <f t="shared" si="25"/>
        <v>0.39705882352941174</v>
      </c>
    </row>
    <row r="76" spans="1:14" s="29" customFormat="1" ht="18" x14ac:dyDescent="0.25">
      <c r="A76" s="76">
        <v>2018</v>
      </c>
      <c r="B76" s="59">
        <f t="shared" si="24"/>
        <v>-0.10734463276836158</v>
      </c>
      <c r="C76" s="59">
        <f t="shared" ref="C76:M76" si="26">(C28-B28)/B28</f>
        <v>-0.12025316455696203</v>
      </c>
      <c r="D76" s="59">
        <f t="shared" si="26"/>
        <v>0.37410071942446044</v>
      </c>
      <c r="E76" s="59">
        <f t="shared" si="26"/>
        <v>-5.7591623036649213E-2</v>
      </c>
      <c r="F76" s="59">
        <f t="shared" si="26"/>
        <v>0.46666666666666667</v>
      </c>
      <c r="G76" s="59">
        <f t="shared" si="26"/>
        <v>0.45454545454545453</v>
      </c>
      <c r="H76" s="59">
        <f t="shared" si="26"/>
        <v>9.1145833333333329E-2</v>
      </c>
      <c r="I76" s="59">
        <f t="shared" si="26"/>
        <v>2.6252983293556086E-2</v>
      </c>
      <c r="J76" s="59">
        <f t="shared" si="26"/>
        <v>-0.40465116279069768</v>
      </c>
      <c r="K76" s="59">
        <f t="shared" si="26"/>
        <v>-0.19140625</v>
      </c>
      <c r="L76" s="59">
        <f t="shared" si="26"/>
        <v>-0.27053140096618356</v>
      </c>
      <c r="M76" s="59">
        <f t="shared" si="26"/>
        <v>0.19205298013245034</v>
      </c>
    </row>
    <row r="77" spans="1:14" s="29" customFormat="1" ht="18" x14ac:dyDescent="0.25">
      <c r="A77" s="76">
        <v>2017</v>
      </c>
      <c r="B77" s="59">
        <f t="shared" si="24"/>
        <v>-0.21978021978021978</v>
      </c>
      <c r="C77" s="59">
        <f t="shared" ref="C77:M77" si="27">(C29-B29)/B29</f>
        <v>0.20422535211267606</v>
      </c>
      <c r="D77" s="59">
        <f t="shared" si="27"/>
        <v>0.36257309941520466</v>
      </c>
      <c r="E77" s="59">
        <f t="shared" si="27"/>
        <v>-0.26609442060085836</v>
      </c>
      <c r="F77" s="59">
        <f t="shared" si="27"/>
        <v>0.391812865497076</v>
      </c>
      <c r="G77" s="59">
        <f t="shared" si="27"/>
        <v>0.67647058823529416</v>
      </c>
      <c r="H77" s="59">
        <f t="shared" si="27"/>
        <v>0</v>
      </c>
      <c r="I77" s="59">
        <f t="shared" si="27"/>
        <v>5.764411027568922E-2</v>
      </c>
      <c r="J77" s="59">
        <f t="shared" si="27"/>
        <v>-0.1895734597156398</v>
      </c>
      <c r="K77" s="59">
        <f t="shared" si="27"/>
        <v>-0.39766081871345027</v>
      </c>
      <c r="L77" s="59">
        <f t="shared" si="27"/>
        <v>-0.26213592233009708</v>
      </c>
      <c r="M77" s="59">
        <f t="shared" si="27"/>
        <v>0.16447368421052633</v>
      </c>
    </row>
    <row r="78" spans="1:14" s="29" customFormat="1" ht="18" x14ac:dyDescent="0.25">
      <c r="A78" s="76">
        <v>2016</v>
      </c>
      <c r="B78" s="59">
        <f t="shared" si="24"/>
        <v>-0.1005586592178771</v>
      </c>
      <c r="C78" s="59">
        <f t="shared" ref="C78:M78" si="28">(C30-B30)/B30</f>
        <v>-4.3478260869565216E-2</v>
      </c>
      <c r="D78" s="59">
        <f t="shared" si="28"/>
        <v>0.39610389610389612</v>
      </c>
      <c r="E78" s="59">
        <f t="shared" si="28"/>
        <v>-0.16279069767441862</v>
      </c>
      <c r="F78" s="59">
        <f t="shared" si="28"/>
        <v>0.62777777777777777</v>
      </c>
      <c r="G78" s="59">
        <f t="shared" si="28"/>
        <v>6.8259385665529013E-2</v>
      </c>
      <c r="H78" s="59">
        <f t="shared" si="28"/>
        <v>0.19169329073482427</v>
      </c>
      <c r="I78" s="59">
        <f t="shared" si="28"/>
        <v>4.8257372654155493E-2</v>
      </c>
      <c r="J78" s="59">
        <f t="shared" si="28"/>
        <v>-0.31713554987212278</v>
      </c>
      <c r="K78" s="59">
        <f t="shared" si="28"/>
        <v>-0.33707865168539325</v>
      </c>
      <c r="L78" s="59">
        <f t="shared" si="28"/>
        <v>5.6497175141242938E-3</v>
      </c>
      <c r="M78" s="59">
        <f t="shared" si="28"/>
        <v>2.247191011235955E-2</v>
      </c>
    </row>
    <row r="79" spans="1:14" s="29" customFormat="1" ht="18" hidden="1" x14ac:dyDescent="0.25">
      <c r="A79" s="31">
        <v>2015</v>
      </c>
      <c r="B79" s="57">
        <f t="shared" si="24"/>
        <v>-0.32642487046632124</v>
      </c>
      <c r="C79" s="57">
        <f t="shared" ref="C79:M79" si="29">(C31-B31)/B31</f>
        <v>0.1076923076923077</v>
      </c>
      <c r="D79" s="57">
        <f t="shared" si="29"/>
        <v>0.38194444444444442</v>
      </c>
      <c r="E79" s="57">
        <f t="shared" si="29"/>
        <v>-7.0351758793969849E-2</v>
      </c>
      <c r="F79" s="57">
        <f t="shared" si="29"/>
        <v>0.12972972972972974</v>
      </c>
      <c r="G79" s="57">
        <f t="shared" si="29"/>
        <v>0.63636363636363635</v>
      </c>
      <c r="H79" s="57">
        <f t="shared" si="29"/>
        <v>0.22807017543859648</v>
      </c>
      <c r="I79" s="57">
        <f t="shared" si="29"/>
        <v>-0.10238095238095238</v>
      </c>
      <c r="J79" s="57">
        <f t="shared" si="29"/>
        <v>-0.26525198938992045</v>
      </c>
      <c r="K79" s="57">
        <f t="shared" si="29"/>
        <v>-0.29963898916967507</v>
      </c>
      <c r="L79" s="57">
        <f t="shared" si="29"/>
        <v>-0.19072164948453607</v>
      </c>
      <c r="M79" s="57">
        <f t="shared" si="29"/>
        <v>0.14012738853503184</v>
      </c>
    </row>
    <row r="80" spans="1:14" s="29" customFormat="1" ht="18" hidden="1" x14ac:dyDescent="0.25">
      <c r="A80" s="31">
        <v>2014</v>
      </c>
      <c r="B80" s="57">
        <f t="shared" si="24"/>
        <v>-0.46713615023474181</v>
      </c>
      <c r="C80" s="57">
        <f t="shared" ref="C80:M80" si="30">(C32-B32)/B32</f>
        <v>-6.1674008810572688E-2</v>
      </c>
      <c r="D80" s="57">
        <f t="shared" si="30"/>
        <v>0.17370892018779344</v>
      </c>
      <c r="E80" s="57">
        <f t="shared" si="30"/>
        <v>-5.1999999999999998E-2</v>
      </c>
      <c r="F80" s="57">
        <f t="shared" si="30"/>
        <v>0.12658227848101267</v>
      </c>
      <c r="G80" s="57">
        <f t="shared" si="30"/>
        <v>-4.1198501872659173E-2</v>
      </c>
      <c r="H80" s="57">
        <f t="shared" si="30"/>
        <v>0.62109375</v>
      </c>
      <c r="I80" s="57">
        <f t="shared" si="30"/>
        <v>-9.3975903614457831E-2</v>
      </c>
      <c r="J80" s="57">
        <f t="shared" si="30"/>
        <v>-0.34308510638297873</v>
      </c>
      <c r="K80" s="57">
        <f t="shared" si="30"/>
        <v>-0.2874493927125506</v>
      </c>
      <c r="L80" s="57">
        <f t="shared" si="30"/>
        <v>-0.25568181818181818</v>
      </c>
      <c r="M80" s="57">
        <f t="shared" si="30"/>
        <v>0.47328244274809161</v>
      </c>
    </row>
    <row r="81" spans="1:14" s="29" customFormat="1" ht="18" hidden="1" x14ac:dyDescent="0.25">
      <c r="A81" s="31">
        <v>2013</v>
      </c>
      <c r="B81" s="57">
        <f t="shared" si="24"/>
        <v>-0.54654654654654655</v>
      </c>
      <c r="C81" s="57">
        <f t="shared" ref="C81:M81" si="31">(C33-B33)/B33</f>
        <v>6.6225165562913912E-2</v>
      </c>
      <c r="D81" s="57">
        <f t="shared" si="31"/>
        <v>0.16149068322981366</v>
      </c>
      <c r="E81" s="57">
        <f t="shared" si="31"/>
        <v>0.20855614973262032</v>
      </c>
      <c r="F81" s="57">
        <f t="shared" si="31"/>
        <v>0.18141592920353983</v>
      </c>
      <c r="G81" s="57">
        <f t="shared" si="31"/>
        <v>0.25842696629213485</v>
      </c>
      <c r="H81" s="57">
        <f t="shared" si="31"/>
        <v>0.6696428571428571</v>
      </c>
      <c r="I81" s="57">
        <f t="shared" si="31"/>
        <v>-2.6737967914438502E-2</v>
      </c>
      <c r="J81" s="57">
        <f t="shared" si="31"/>
        <v>-0.15018315018315018</v>
      </c>
      <c r="K81" s="57">
        <f t="shared" si="31"/>
        <v>-0.10129310344827586</v>
      </c>
      <c r="L81" s="57">
        <f t="shared" si="31"/>
        <v>-0.65467625899280579</v>
      </c>
      <c r="M81" s="57">
        <f t="shared" si="31"/>
        <v>1.9583333333333333</v>
      </c>
    </row>
    <row r="82" spans="1:14" s="29" customFormat="1" ht="18" hidden="1" x14ac:dyDescent="0.25">
      <c r="A82" s="31">
        <v>2012</v>
      </c>
      <c r="B82" s="57">
        <f t="shared" si="24"/>
        <v>-0.32</v>
      </c>
      <c r="C82" s="57">
        <f t="shared" ref="C82:M82" si="32">(C34-B34)/B34</f>
        <v>0.38655462184873951</v>
      </c>
      <c r="D82" s="57">
        <f t="shared" si="32"/>
        <v>-5.4545454545454543E-2</v>
      </c>
      <c r="E82" s="57">
        <f t="shared" si="32"/>
        <v>-8.9743589743589744E-2</v>
      </c>
      <c r="F82" s="57">
        <f t="shared" si="32"/>
        <v>0.36619718309859156</v>
      </c>
      <c r="G82" s="57">
        <f t="shared" si="32"/>
        <v>0.72164948453608246</v>
      </c>
      <c r="H82" s="57">
        <f t="shared" si="32"/>
        <v>0.29940119760479039</v>
      </c>
      <c r="I82" s="57">
        <f t="shared" si="32"/>
        <v>-0.22580645161290322</v>
      </c>
      <c r="J82" s="57">
        <f t="shared" si="32"/>
        <v>-0.30952380952380953</v>
      </c>
      <c r="K82" s="57">
        <f t="shared" si="32"/>
        <v>-0.32327586206896552</v>
      </c>
      <c r="L82" s="57">
        <f t="shared" si="32"/>
        <v>4.4585987261146494E-2</v>
      </c>
      <c r="M82" s="57">
        <f t="shared" si="32"/>
        <v>1.0304878048780488</v>
      </c>
    </row>
    <row r="83" spans="1:14" s="29" customFormat="1" ht="18" hidden="1" x14ac:dyDescent="0.25">
      <c r="A83" s="31">
        <v>2011</v>
      </c>
      <c r="B83" s="57">
        <f t="shared" si="24"/>
        <v>2.6845637583892617E-2</v>
      </c>
      <c r="C83" s="57">
        <f t="shared" ref="C83:M83" si="33">(C35-B35)/B35</f>
        <v>-0.20261437908496732</v>
      </c>
      <c r="D83" s="57">
        <f t="shared" si="33"/>
        <v>0.22950819672131148</v>
      </c>
      <c r="E83" s="57">
        <f t="shared" si="33"/>
        <v>7.3333333333333334E-2</v>
      </c>
      <c r="F83" s="57">
        <f t="shared" si="33"/>
        <v>0.2236024844720497</v>
      </c>
      <c r="G83" s="57">
        <f t="shared" si="33"/>
        <v>0.58375634517766495</v>
      </c>
      <c r="H83" s="57">
        <f t="shared" si="33"/>
        <v>0.12179487179487179</v>
      </c>
      <c r="I83" s="57">
        <f t="shared" si="33"/>
        <v>2.8571428571428571E-3</v>
      </c>
      <c r="J83" s="57">
        <f t="shared" si="33"/>
        <v>-0.37606837606837606</v>
      </c>
      <c r="K83" s="57">
        <f t="shared" si="33"/>
        <v>-0.24200913242009131</v>
      </c>
      <c r="L83" s="57">
        <f t="shared" si="33"/>
        <v>-0.13253012048192772</v>
      </c>
      <c r="M83" s="57">
        <f t="shared" si="33"/>
        <v>0.21527777777777779</v>
      </c>
      <c r="N83" s="80"/>
    </row>
    <row r="84" spans="1:14" s="29" customFormat="1" ht="18" hidden="1" x14ac:dyDescent="0.25">
      <c r="A84" s="72">
        <v>2010</v>
      </c>
      <c r="B84" s="57">
        <f t="shared" si="24"/>
        <v>-0.27848101265822783</v>
      </c>
      <c r="C84" s="57">
        <f t="shared" ref="C84:M84" si="34">(C36-B36)/B36</f>
        <v>0.21052631578947367</v>
      </c>
      <c r="D84" s="57">
        <f t="shared" si="34"/>
        <v>0.28985507246376813</v>
      </c>
      <c r="E84" s="57">
        <f t="shared" si="34"/>
        <v>0.14606741573033707</v>
      </c>
      <c r="F84" s="57">
        <f t="shared" si="34"/>
        <v>-9.8039215686274508E-2</v>
      </c>
      <c r="G84" s="57">
        <f t="shared" si="34"/>
        <v>0.64130434782608692</v>
      </c>
      <c r="H84" s="57">
        <f t="shared" si="34"/>
        <v>0.26158940397350994</v>
      </c>
      <c r="I84" s="57">
        <f t="shared" si="34"/>
        <v>-9.711286089238845E-2</v>
      </c>
      <c r="J84" s="57">
        <f t="shared" si="34"/>
        <v>-0.31976744186046513</v>
      </c>
      <c r="K84" s="57">
        <f t="shared" si="34"/>
        <v>-0.36324786324786323</v>
      </c>
      <c r="L84" s="57">
        <f t="shared" si="34"/>
        <v>-0.16778523489932887</v>
      </c>
      <c r="M84" s="57">
        <f t="shared" si="34"/>
        <v>0.20161290322580644</v>
      </c>
    </row>
    <row r="85" spans="1:14" s="29" customFormat="1" ht="18" hidden="1" x14ac:dyDescent="0.25">
      <c r="A85" s="31">
        <v>2009</v>
      </c>
      <c r="B85" s="57">
        <f t="shared" si="24"/>
        <v>-0.2879581151832461</v>
      </c>
      <c r="C85" s="57">
        <f t="shared" ref="C85:M85" si="35">(C37-B37)/B37</f>
        <v>0.23529411764705882</v>
      </c>
      <c r="D85" s="57">
        <f t="shared" si="35"/>
        <v>8.9285714285714288E-2</v>
      </c>
      <c r="E85" s="57">
        <f t="shared" si="35"/>
        <v>-2.7322404371584699E-2</v>
      </c>
      <c r="F85" s="57">
        <f t="shared" si="35"/>
        <v>0.23595505617977527</v>
      </c>
      <c r="G85" s="57">
        <f t="shared" si="35"/>
        <v>0.30909090909090908</v>
      </c>
      <c r="H85" s="57">
        <f t="shared" si="35"/>
        <v>0.2361111111111111</v>
      </c>
      <c r="I85" s="57">
        <f t="shared" si="35"/>
        <v>1.4044943820224719E-2</v>
      </c>
      <c r="J85" s="57">
        <f t="shared" si="35"/>
        <v>-0.34626038781163437</v>
      </c>
      <c r="K85" s="57">
        <f t="shared" si="35"/>
        <v>-0.1059322033898305</v>
      </c>
      <c r="L85" s="57">
        <f t="shared" si="35"/>
        <v>-0.40758293838862558</v>
      </c>
      <c r="M85" s="57">
        <f t="shared" si="35"/>
        <v>0.26400000000000001</v>
      </c>
    </row>
    <row r="86" spans="1:14" s="29" customFormat="1" ht="18" hidden="1" x14ac:dyDescent="0.25">
      <c r="A86" s="31">
        <v>2008</v>
      </c>
      <c r="B86" s="57">
        <f t="shared" si="24"/>
        <v>-0.21546961325966851</v>
      </c>
      <c r="C86" s="57">
        <f t="shared" ref="C86:M86" si="36">(C38-B38)/B38</f>
        <v>0.28169014084507044</v>
      </c>
      <c r="D86" s="57">
        <f t="shared" si="36"/>
        <v>-9.3406593406593408E-2</v>
      </c>
      <c r="E86" s="57">
        <f t="shared" si="36"/>
        <v>1.8181818181818181E-2</v>
      </c>
      <c r="F86" s="57">
        <f t="shared" si="36"/>
        <v>0.375</v>
      </c>
      <c r="G86" s="57">
        <f t="shared" si="36"/>
        <v>3.4632034632034632E-2</v>
      </c>
      <c r="H86" s="57">
        <f t="shared" si="36"/>
        <v>0.62343096234309625</v>
      </c>
      <c r="I86" s="57">
        <f t="shared" si="36"/>
        <v>-0.12886597938144329</v>
      </c>
      <c r="J86" s="57">
        <f t="shared" si="36"/>
        <v>-0.32544378698224852</v>
      </c>
      <c r="K86" s="57">
        <f t="shared" si="36"/>
        <v>-7.0175438596491224E-2</v>
      </c>
      <c r="L86" s="57">
        <f t="shared" si="36"/>
        <v>-0.36792452830188677</v>
      </c>
      <c r="M86" s="57">
        <f t="shared" si="36"/>
        <v>0.42537313432835822</v>
      </c>
    </row>
    <row r="87" spans="1:14" s="29" customFormat="1" ht="18" hidden="1" x14ac:dyDescent="0.25">
      <c r="A87" s="31">
        <v>2007</v>
      </c>
      <c r="B87" s="57">
        <f t="shared" si="24"/>
        <v>-0.10365853658536585</v>
      </c>
      <c r="C87" s="57">
        <f t="shared" ref="C87:M87" si="37">(C39-B39)/B39</f>
        <v>7.4829931972789115E-2</v>
      </c>
      <c r="D87" s="57">
        <f t="shared" si="37"/>
        <v>0.13291139240506328</v>
      </c>
      <c r="E87" s="57">
        <f t="shared" si="37"/>
        <v>0</v>
      </c>
      <c r="F87" s="57">
        <f t="shared" si="37"/>
        <v>0.51955307262569828</v>
      </c>
      <c r="G87" s="57">
        <f t="shared" si="37"/>
        <v>0.36029411764705882</v>
      </c>
      <c r="H87" s="57">
        <f t="shared" si="37"/>
        <v>-2.9729729729729731E-2</v>
      </c>
      <c r="I87" s="57">
        <f t="shared" si="37"/>
        <v>-8.356545961002786E-3</v>
      </c>
      <c r="J87" s="57">
        <f t="shared" si="37"/>
        <v>-0.47752808988764045</v>
      </c>
      <c r="K87" s="57">
        <f t="shared" si="37"/>
        <v>-2.6881720430107527E-2</v>
      </c>
      <c r="L87" s="57">
        <f t="shared" si="37"/>
        <v>-0.20994475138121546</v>
      </c>
      <c r="M87" s="57">
        <f t="shared" si="37"/>
        <v>0.26573426573426573</v>
      </c>
    </row>
    <row r="88" spans="1:14" s="29" customFormat="1" ht="18" hidden="1" x14ac:dyDescent="0.25">
      <c r="A88" s="80">
        <v>2006</v>
      </c>
      <c r="B88" s="57">
        <f t="shared" si="24"/>
        <v>-0.26262626262626265</v>
      </c>
      <c r="C88" s="57">
        <f t="shared" ref="C88:M88" si="38">(C40-B40)/B40</f>
        <v>8.2191780821917804E-2</v>
      </c>
      <c r="D88" s="57">
        <f t="shared" si="38"/>
        <v>0.15822784810126583</v>
      </c>
      <c r="E88" s="57">
        <f t="shared" si="38"/>
        <v>-1.092896174863388E-2</v>
      </c>
      <c r="F88" s="57">
        <f t="shared" si="38"/>
        <v>0.26519337016574585</v>
      </c>
      <c r="G88" s="57">
        <f t="shared" si="38"/>
        <v>0.34934497816593885</v>
      </c>
      <c r="H88" s="57">
        <f t="shared" si="38"/>
        <v>0.1650485436893204</v>
      </c>
      <c r="I88" s="57">
        <f t="shared" si="38"/>
        <v>1.9444444444444445E-2</v>
      </c>
      <c r="J88" s="57">
        <f t="shared" si="38"/>
        <v>-0.41689373297002724</v>
      </c>
      <c r="K88" s="57">
        <f t="shared" si="38"/>
        <v>-0.20560747663551401</v>
      </c>
      <c r="L88" s="57">
        <f t="shared" si="38"/>
        <v>-0.12941176470588237</v>
      </c>
      <c r="M88" s="57">
        <f t="shared" si="38"/>
        <v>0.10810810810810811</v>
      </c>
    </row>
    <row r="89" spans="1:14" s="29" customFormat="1" ht="18" hidden="1" x14ac:dyDescent="0.25">
      <c r="A89" s="76">
        <v>2005</v>
      </c>
      <c r="B89" s="57">
        <f t="shared" si="24"/>
        <v>-0.15697674418604651</v>
      </c>
      <c r="C89" s="57">
        <f t="shared" ref="C89:M89" si="39">(C41-B41)/B41</f>
        <v>0.14482758620689656</v>
      </c>
      <c r="D89" s="57">
        <f t="shared" si="39"/>
        <v>0.19879518072289157</v>
      </c>
      <c r="E89" s="57">
        <f t="shared" si="39"/>
        <v>1.0050251256281407E-2</v>
      </c>
      <c r="F89" s="57">
        <f t="shared" si="39"/>
        <v>0.21393034825870647</v>
      </c>
      <c r="G89" s="57">
        <f t="shared" si="39"/>
        <v>0.38114754098360654</v>
      </c>
      <c r="H89" s="57">
        <f t="shared" si="39"/>
        <v>0.10385756676557864</v>
      </c>
      <c r="I89" s="57">
        <f t="shared" si="39"/>
        <v>-5.6451612903225805E-2</v>
      </c>
      <c r="J89" s="57">
        <f t="shared" si="39"/>
        <v>-0.32193732193732194</v>
      </c>
      <c r="K89" s="57">
        <f t="shared" si="39"/>
        <v>-0.31512605042016806</v>
      </c>
      <c r="L89" s="57">
        <f t="shared" si="39"/>
        <v>-6.1349693251533744E-3</v>
      </c>
      <c r="M89" s="57">
        <f t="shared" si="39"/>
        <v>0.22222222222222221</v>
      </c>
    </row>
    <row r="90" spans="1:14" s="29" customFormat="1" ht="18" hidden="1" x14ac:dyDescent="0.25">
      <c r="A90" s="76">
        <v>2004</v>
      </c>
      <c r="B90" s="57">
        <f t="shared" si="24"/>
        <v>-0.29319371727748689</v>
      </c>
      <c r="C90" s="57">
        <f t="shared" ref="C90:M90" si="40">+(C42-B42)/B42</f>
        <v>0.18518518518518517</v>
      </c>
      <c r="D90" s="57">
        <f t="shared" si="40"/>
        <v>0.17499999999999999</v>
      </c>
      <c r="E90" s="57">
        <f t="shared" si="40"/>
        <v>1.5957446808510637E-2</v>
      </c>
      <c r="F90" s="57">
        <f t="shared" si="40"/>
        <v>0.2356020942408377</v>
      </c>
      <c r="G90" s="57">
        <f t="shared" si="40"/>
        <v>0.38135593220338981</v>
      </c>
      <c r="H90" s="57">
        <f t="shared" si="40"/>
        <v>0.14417177914110429</v>
      </c>
      <c r="I90" s="57">
        <f t="shared" si="40"/>
        <v>-9.9195710455764072E-2</v>
      </c>
      <c r="J90" s="57">
        <f t="shared" si="40"/>
        <v>-0.375</v>
      </c>
      <c r="K90" s="57">
        <f t="shared" si="40"/>
        <v>-0.20476190476190476</v>
      </c>
      <c r="L90" s="57">
        <f t="shared" si="40"/>
        <v>-5.3892215568862277E-2</v>
      </c>
      <c r="M90" s="57">
        <f t="shared" si="40"/>
        <v>8.8607594936708861E-2</v>
      </c>
    </row>
    <row r="91" spans="1:14" s="29" customFormat="1" ht="18" hidden="1" x14ac:dyDescent="0.25">
      <c r="A91" s="31">
        <v>2003</v>
      </c>
      <c r="B91" s="57">
        <f t="shared" si="24"/>
        <v>-0.33163265306122447</v>
      </c>
      <c r="C91" s="57">
        <f t="shared" ref="C91:M91" si="41">+(C43-B43)/B43</f>
        <v>0.34351145038167941</v>
      </c>
      <c r="D91" s="57">
        <f t="shared" si="41"/>
        <v>4.5454545454545456E-2</v>
      </c>
      <c r="E91" s="57">
        <f t="shared" si="41"/>
        <v>0.11956521739130435</v>
      </c>
      <c r="F91" s="57">
        <f t="shared" si="41"/>
        <v>5.8252427184466021E-2</v>
      </c>
      <c r="G91" s="57">
        <f t="shared" si="41"/>
        <v>0.44495412844036697</v>
      </c>
      <c r="H91" s="57">
        <f t="shared" si="41"/>
        <v>7.6190476190476197E-2</v>
      </c>
      <c r="I91" s="57">
        <f t="shared" si="41"/>
        <v>-6.4896755162241887E-2</v>
      </c>
      <c r="J91" s="57">
        <f t="shared" si="41"/>
        <v>-0.22712933753943218</v>
      </c>
      <c r="K91" s="57">
        <f t="shared" si="41"/>
        <v>-0.26938775510204083</v>
      </c>
      <c r="L91" s="57">
        <f t="shared" si="41"/>
        <v>-0.39664804469273746</v>
      </c>
      <c r="M91" s="57">
        <f t="shared" si="41"/>
        <v>0.76851851851851849</v>
      </c>
    </row>
    <row r="92" spans="1:14" s="29" customFormat="1" ht="18" hidden="1" x14ac:dyDescent="0.25">
      <c r="A92" s="31">
        <v>2002</v>
      </c>
      <c r="B92" s="57">
        <f t="shared" si="24"/>
        <v>-9.2896174863387984E-2</v>
      </c>
      <c r="C92" s="57">
        <f t="shared" ref="C92:M92" si="42">+(C44-B44)/B44</f>
        <v>-6.6265060240963861E-2</v>
      </c>
      <c r="D92" s="57">
        <f t="shared" si="42"/>
        <v>7.0967741935483872E-2</v>
      </c>
      <c r="E92" s="57">
        <f t="shared" si="42"/>
        <v>0.49397590361445781</v>
      </c>
      <c r="F92" s="57">
        <f t="shared" si="42"/>
        <v>4.0322580645161289E-3</v>
      </c>
      <c r="G92" s="57">
        <f t="shared" si="42"/>
        <v>9.6385542168674704E-2</v>
      </c>
      <c r="H92" s="57">
        <f t="shared" si="42"/>
        <v>0.52380952380952384</v>
      </c>
      <c r="I92" s="57">
        <f t="shared" si="42"/>
        <v>-0.24038461538461539</v>
      </c>
      <c r="J92" s="57">
        <f t="shared" si="42"/>
        <v>-0.2848101265822785</v>
      </c>
      <c r="K92" s="57">
        <f t="shared" si="42"/>
        <v>-0.25221238938053098</v>
      </c>
      <c r="L92" s="57">
        <f t="shared" si="42"/>
        <v>-3.5502958579881658E-2</v>
      </c>
      <c r="M92" s="57">
        <f t="shared" si="42"/>
        <v>0.20245398773006135</v>
      </c>
    </row>
    <row r="93" spans="1:14" s="29" customFormat="1" ht="18" hidden="1" customHeight="1" x14ac:dyDescent="0.25">
      <c r="A93" s="31">
        <v>2001</v>
      </c>
      <c r="B93" s="57">
        <f t="shared" si="24"/>
        <v>-0.25510204081632654</v>
      </c>
      <c r="C93" s="57">
        <f t="shared" ref="C93:M93" si="43">+(C45-B45)/B45</f>
        <v>0.26027397260273971</v>
      </c>
      <c r="D93" s="57">
        <f t="shared" si="43"/>
        <v>5.434782608695652E-2</v>
      </c>
      <c r="E93" s="57">
        <f t="shared" si="43"/>
        <v>0.27835051546391754</v>
      </c>
      <c r="F93" s="57">
        <f t="shared" si="43"/>
        <v>-5.6451612903225805E-2</v>
      </c>
      <c r="G93" s="57">
        <f t="shared" si="43"/>
        <v>0.32051282051282054</v>
      </c>
      <c r="H93" s="57">
        <f t="shared" si="43"/>
        <v>0.37540453074433655</v>
      </c>
      <c r="I93" s="57">
        <f t="shared" si="43"/>
        <v>-0.14588235294117646</v>
      </c>
      <c r="J93" s="57">
        <f t="shared" si="43"/>
        <v>-0.37465564738292012</v>
      </c>
      <c r="K93" s="57">
        <f t="shared" si="43"/>
        <v>-0.22026431718061673</v>
      </c>
      <c r="L93" s="57">
        <f t="shared" si="43"/>
        <v>-0.15254237288135594</v>
      </c>
      <c r="M93" s="57">
        <f t="shared" si="43"/>
        <v>0.22</v>
      </c>
    </row>
    <row r="94" spans="1:14" ht="18" hidden="1" x14ac:dyDescent="0.25">
      <c r="A94" s="31">
        <v>2000</v>
      </c>
      <c r="B94" s="57">
        <f t="shared" si="24"/>
        <v>-0.13333333333333333</v>
      </c>
      <c r="C94" s="57">
        <f t="shared" ref="C94:M94" si="44">+(C46-B46)/B46</f>
        <v>0.28846153846153844</v>
      </c>
      <c r="D94" s="57">
        <f t="shared" si="44"/>
        <v>2.9850746268656716E-2</v>
      </c>
      <c r="E94" s="57">
        <f t="shared" si="44"/>
        <v>-0.11594202898550725</v>
      </c>
      <c r="F94" s="57">
        <f t="shared" si="44"/>
        <v>0.39344262295081966</v>
      </c>
      <c r="G94" s="57">
        <f t="shared" si="44"/>
        <v>0.38039215686274508</v>
      </c>
      <c r="H94" s="57">
        <f t="shared" si="44"/>
        <v>0</v>
      </c>
      <c r="I94" s="57">
        <f t="shared" si="44"/>
        <v>-1.7045454545454544E-2</v>
      </c>
      <c r="J94" s="57">
        <f t="shared" si="44"/>
        <v>-0.21098265895953758</v>
      </c>
      <c r="K94" s="57">
        <f t="shared" si="44"/>
        <v>-0.37362637362637363</v>
      </c>
      <c r="L94" s="57">
        <f t="shared" si="44"/>
        <v>-0.1111111111111111</v>
      </c>
      <c r="M94" s="57">
        <f t="shared" si="44"/>
        <v>0.28947368421052633</v>
      </c>
      <c r="N94" s="59"/>
    </row>
    <row r="95" spans="1:14" ht="18" hidden="1" x14ac:dyDescent="0.25">
      <c r="A95" s="31">
        <v>1999</v>
      </c>
      <c r="B95" s="48"/>
      <c r="C95" s="57">
        <f t="shared" ref="C95:M95" si="45">+(C47-B47)/B47</f>
        <v>0.28758169934640521</v>
      </c>
      <c r="D95" s="57">
        <f t="shared" si="45"/>
        <v>0.1116751269035533</v>
      </c>
      <c r="E95" s="57">
        <f t="shared" si="45"/>
        <v>6.3926940639269403E-2</v>
      </c>
      <c r="F95" s="57">
        <f t="shared" si="45"/>
        <v>1.2875536480686695E-2</v>
      </c>
      <c r="G95" s="57">
        <f t="shared" si="45"/>
        <v>0.5</v>
      </c>
      <c r="H95" s="57">
        <f t="shared" si="45"/>
        <v>0.20056497175141244</v>
      </c>
      <c r="I95" s="57">
        <f t="shared" si="45"/>
        <v>-4.2352941176470586E-2</v>
      </c>
      <c r="J95" s="57">
        <f t="shared" si="45"/>
        <v>-0.38574938574938578</v>
      </c>
      <c r="K95" s="57">
        <f t="shared" si="45"/>
        <v>-0.28799999999999998</v>
      </c>
      <c r="L95" s="57">
        <f t="shared" si="45"/>
        <v>6.1797752808988762E-2</v>
      </c>
      <c r="M95" s="57">
        <f t="shared" si="45"/>
        <v>-4.7619047619047616E-2</v>
      </c>
      <c r="N95" s="16"/>
    </row>
    <row r="96" spans="1:14" ht="18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48"/>
      <c r="M96" s="29"/>
      <c r="N96" s="16"/>
    </row>
    <row r="97" spans="1:14" s="24" customFormat="1" ht="18" x14ac:dyDescent="0.25">
      <c r="A97" s="67" t="s">
        <v>98</v>
      </c>
      <c r="B97" s="16"/>
      <c r="C97" s="16"/>
      <c r="D97" s="16"/>
      <c r="E97" s="16"/>
      <c r="F97" s="16"/>
      <c r="G97" s="16"/>
      <c r="H97" s="22"/>
      <c r="I97" s="22"/>
      <c r="J97" s="22"/>
      <c r="K97" s="22"/>
      <c r="L97" s="22"/>
      <c r="M97" s="22"/>
      <c r="N97" s="16"/>
    </row>
    <row r="98" spans="1:14" s="24" customFormat="1" ht="18" x14ac:dyDescent="0.25">
      <c r="A98" s="36">
        <v>2020</v>
      </c>
      <c r="B98" s="174">
        <f t="shared" ref="B98:B103" si="46">(B26-B27)/B27</f>
        <v>-3.4965034965034968E-2</v>
      </c>
      <c r="C98" s="174">
        <f t="shared" ref="C98:M99" si="47">(C26-C27)/C27</f>
        <v>6.6265060240963861E-2</v>
      </c>
      <c r="D98" s="174">
        <f t="shared" si="47"/>
        <v>-0.287292817679558</v>
      </c>
      <c r="E98" s="174">
        <f t="shared" si="47"/>
        <v>-0.38423645320197042</v>
      </c>
      <c r="F98" s="174">
        <f t="shared" si="47"/>
        <v>-0.47552447552447552</v>
      </c>
      <c r="G98" s="174">
        <f t="shared" si="47"/>
        <v>-0.32615384615384613</v>
      </c>
      <c r="H98" s="174">
        <f t="shared" si="47"/>
        <v>-0.20935960591133004</v>
      </c>
      <c r="I98" s="174">
        <f t="shared" si="47"/>
        <v>-0.24060150375939848</v>
      </c>
      <c r="J98" s="174"/>
      <c r="K98" s="174"/>
      <c r="L98" s="174"/>
      <c r="M98" s="174"/>
      <c r="N98" s="16"/>
    </row>
    <row r="99" spans="1:14" s="24" customFormat="1" ht="18" x14ac:dyDescent="0.25">
      <c r="A99" s="76">
        <v>2019</v>
      </c>
      <c r="B99" s="178">
        <f t="shared" si="46"/>
        <v>-9.49367088607595E-2</v>
      </c>
      <c r="C99" s="178">
        <f t="shared" si="47"/>
        <v>0.19424460431654678</v>
      </c>
      <c r="D99" s="178">
        <f t="shared" si="47"/>
        <v>-5.2356020942408377E-2</v>
      </c>
      <c r="E99" s="178">
        <f t="shared" si="47"/>
        <v>0.12777777777777777</v>
      </c>
      <c r="F99" s="178">
        <f t="shared" si="47"/>
        <v>8.3333333333333329E-2</v>
      </c>
      <c r="G99" s="178">
        <f t="shared" si="47"/>
        <v>-0.15364583333333334</v>
      </c>
      <c r="H99" s="178">
        <f t="shared" si="47"/>
        <v>-3.1026252983293555E-2</v>
      </c>
      <c r="I99" s="178">
        <f t="shared" si="47"/>
        <v>-7.2093023255813959E-2</v>
      </c>
      <c r="J99" s="178">
        <f t="shared" si="47"/>
        <v>6.25E-2</v>
      </c>
      <c r="K99" s="178">
        <f t="shared" si="47"/>
        <v>-4.3478260869565216E-2</v>
      </c>
      <c r="L99" s="178">
        <f t="shared" si="47"/>
        <v>-9.9337748344370855E-2</v>
      </c>
      <c r="M99" s="178">
        <f t="shared" si="47"/>
        <v>5.5555555555555552E-2</v>
      </c>
      <c r="N99" s="16"/>
    </row>
    <row r="100" spans="1:14" s="24" customFormat="1" ht="18" x14ac:dyDescent="0.25">
      <c r="A100" s="76">
        <v>2018</v>
      </c>
      <c r="B100" s="178">
        <f t="shared" si="46"/>
        <v>0.11267605633802817</v>
      </c>
      <c r="C100" s="178">
        <f t="shared" ref="C100:M100" si="48">(C28-C29)/C29</f>
        <v>-0.1871345029239766</v>
      </c>
      <c r="D100" s="178">
        <f t="shared" si="48"/>
        <v>-0.18025751072961374</v>
      </c>
      <c r="E100" s="178">
        <f t="shared" si="48"/>
        <v>5.2631578947368418E-2</v>
      </c>
      <c r="F100" s="178">
        <f t="shared" si="48"/>
        <v>0.1092436974789916</v>
      </c>
      <c r="G100" s="178">
        <f t="shared" si="48"/>
        <v>-3.7593984962406013E-2</v>
      </c>
      <c r="H100" s="178">
        <f t="shared" si="48"/>
        <v>5.0125313283208017E-2</v>
      </c>
      <c r="I100" s="178">
        <f t="shared" si="48"/>
        <v>1.8957345971563982E-2</v>
      </c>
      <c r="J100" s="178">
        <f t="shared" si="48"/>
        <v>-0.25146198830409355</v>
      </c>
      <c r="K100" s="178">
        <f t="shared" si="48"/>
        <v>4.8543689320388345E-3</v>
      </c>
      <c r="L100" s="178">
        <f t="shared" si="48"/>
        <v>-6.5789473684210523E-3</v>
      </c>
      <c r="M100" s="178">
        <f t="shared" si="48"/>
        <v>1.6949152542372881E-2</v>
      </c>
      <c r="N100" s="16"/>
    </row>
    <row r="101" spans="1:14" s="24" customFormat="1" ht="18" x14ac:dyDescent="0.25">
      <c r="A101" s="76">
        <v>2017</v>
      </c>
      <c r="B101" s="178">
        <f t="shared" si="46"/>
        <v>-0.11801242236024845</v>
      </c>
      <c r="C101" s="178">
        <f t="shared" ref="C101:M101" si="49">(C29-C30)/C30</f>
        <v>0.11038961038961038</v>
      </c>
      <c r="D101" s="178">
        <f t="shared" si="49"/>
        <v>8.3720930232558138E-2</v>
      </c>
      <c r="E101" s="178">
        <f t="shared" si="49"/>
        <v>-0.05</v>
      </c>
      <c r="F101" s="178">
        <f t="shared" si="49"/>
        <v>-0.18771331058020477</v>
      </c>
      <c r="G101" s="178">
        <f t="shared" si="49"/>
        <v>0.27476038338658149</v>
      </c>
      <c r="H101" s="178">
        <f t="shared" si="49"/>
        <v>6.9705093833780166E-2</v>
      </c>
      <c r="I101" s="178">
        <f t="shared" si="49"/>
        <v>7.9283887468030695E-2</v>
      </c>
      <c r="J101" s="178">
        <f t="shared" si="49"/>
        <v>0.2808988764044944</v>
      </c>
      <c r="K101" s="178">
        <f t="shared" si="49"/>
        <v>0.16384180790960451</v>
      </c>
      <c r="L101" s="178">
        <f t="shared" si="49"/>
        <v>-0.14606741573033707</v>
      </c>
      <c r="M101" s="178">
        <f t="shared" si="49"/>
        <v>-2.7472527472527472E-2</v>
      </c>
      <c r="N101" s="16"/>
    </row>
    <row r="102" spans="1:14" s="39" customFormat="1" ht="18" x14ac:dyDescent="0.25">
      <c r="A102" s="76">
        <v>2016</v>
      </c>
      <c r="B102" s="178">
        <f t="shared" si="46"/>
        <v>0.23846153846153847</v>
      </c>
      <c r="C102" s="178">
        <f t="shared" ref="C102:M102" si="50">(C30-C31)/C31</f>
        <v>6.9444444444444448E-2</v>
      </c>
      <c r="D102" s="178">
        <f t="shared" si="50"/>
        <v>8.0402010050251257E-2</v>
      </c>
      <c r="E102" s="178">
        <f t="shared" si="50"/>
        <v>-2.7027027027027029E-2</v>
      </c>
      <c r="F102" s="178">
        <f t="shared" si="50"/>
        <v>0.40191387559808611</v>
      </c>
      <c r="G102" s="178">
        <f t="shared" si="50"/>
        <v>-8.4795321637426896E-2</v>
      </c>
      <c r="H102" s="178">
        <f t="shared" si="50"/>
        <v>-0.11190476190476191</v>
      </c>
      <c r="I102" s="178">
        <f t="shared" si="50"/>
        <v>3.7135278514588858E-2</v>
      </c>
      <c r="J102" s="178">
        <f t="shared" si="50"/>
        <v>-3.6101083032490974E-2</v>
      </c>
      <c r="K102" s="178">
        <f t="shared" si="50"/>
        <v>-8.7628865979381437E-2</v>
      </c>
      <c r="L102" s="178">
        <f t="shared" si="50"/>
        <v>0.13375796178343949</v>
      </c>
      <c r="M102" s="178">
        <f t="shared" si="50"/>
        <v>1.6759776536312849E-2</v>
      </c>
      <c r="N102" s="174"/>
    </row>
    <row r="103" spans="1:14" s="24" customFormat="1" ht="18" hidden="1" x14ac:dyDescent="0.25">
      <c r="A103" s="31">
        <v>2015</v>
      </c>
      <c r="B103" s="57">
        <f t="shared" si="46"/>
        <v>-0.42731277533039647</v>
      </c>
      <c r="C103" s="57">
        <f t="shared" ref="C103:M103" si="51">(C31-C32)/C32</f>
        <v>-0.323943661971831</v>
      </c>
      <c r="D103" s="57">
        <f t="shared" si="51"/>
        <v>-0.20399999999999999</v>
      </c>
      <c r="E103" s="57">
        <f t="shared" si="51"/>
        <v>-0.21940928270042195</v>
      </c>
      <c r="F103" s="57">
        <f t="shared" si="51"/>
        <v>-0.21722846441947566</v>
      </c>
      <c r="G103" s="57">
        <f t="shared" si="51"/>
        <v>0.3359375</v>
      </c>
      <c r="H103" s="57">
        <f t="shared" si="51"/>
        <v>1.2048192771084338E-2</v>
      </c>
      <c r="I103" s="57">
        <f t="shared" si="51"/>
        <v>2.6595744680851063E-3</v>
      </c>
      <c r="J103" s="57">
        <f t="shared" si="51"/>
        <v>0.1214574898785425</v>
      </c>
      <c r="K103" s="57">
        <f t="shared" si="51"/>
        <v>0.10227272727272728</v>
      </c>
      <c r="L103" s="57">
        <f t="shared" si="51"/>
        <v>0.19847328244274809</v>
      </c>
      <c r="M103" s="57">
        <f t="shared" si="51"/>
        <v>-7.2538860103626937E-2</v>
      </c>
      <c r="N103" s="16"/>
    </row>
    <row r="104" spans="1:14" ht="18" hidden="1" x14ac:dyDescent="0.25">
      <c r="A104" s="31">
        <v>2014</v>
      </c>
      <c r="B104" s="57">
        <f t="shared" ref="B104:M104" si="52">(B32-B33)/B33</f>
        <v>0.50331125827814571</v>
      </c>
      <c r="C104" s="57">
        <f t="shared" si="52"/>
        <v>0.32298136645962733</v>
      </c>
      <c r="D104" s="57">
        <f t="shared" si="52"/>
        <v>0.33689839572192515</v>
      </c>
      <c r="E104" s="57">
        <f t="shared" si="52"/>
        <v>4.8672566371681415E-2</v>
      </c>
      <c r="F104" s="57">
        <f t="shared" si="52"/>
        <v>0</v>
      </c>
      <c r="G104" s="57">
        <f t="shared" si="52"/>
        <v>-0.23809523809523808</v>
      </c>
      <c r="H104" s="57">
        <f t="shared" si="52"/>
        <v>-0.26024955436720143</v>
      </c>
      <c r="I104" s="57">
        <f t="shared" si="52"/>
        <v>-0.31135531135531136</v>
      </c>
      <c r="J104" s="57">
        <f t="shared" si="52"/>
        <v>-0.46767241379310343</v>
      </c>
      <c r="K104" s="57">
        <f t="shared" si="52"/>
        <v>-0.57793764988009588</v>
      </c>
      <c r="L104" s="57">
        <f t="shared" si="52"/>
        <v>-9.0277777777777776E-2</v>
      </c>
      <c r="M104" s="57">
        <f t="shared" si="52"/>
        <v>-0.54694835680751175</v>
      </c>
      <c r="N104" s="164"/>
    </row>
    <row r="105" spans="1:14" ht="18" hidden="1" x14ac:dyDescent="0.25">
      <c r="A105" s="31">
        <v>2013</v>
      </c>
      <c r="B105" s="57">
        <f t="shared" ref="B105:M105" si="53">(B33-B34)/B34</f>
        <v>0.26890756302521007</v>
      </c>
      <c r="C105" s="57">
        <f t="shared" si="53"/>
        <v>-2.4242424242424242E-2</v>
      </c>
      <c r="D105" s="57">
        <f t="shared" si="53"/>
        <v>0.19871794871794871</v>
      </c>
      <c r="E105" s="57">
        <f t="shared" si="53"/>
        <v>0.59154929577464788</v>
      </c>
      <c r="F105" s="57">
        <f t="shared" si="53"/>
        <v>0.37628865979381443</v>
      </c>
      <c r="G105" s="57">
        <f t="shared" si="53"/>
        <v>5.9880239520958087E-3</v>
      </c>
      <c r="H105" s="57">
        <f t="shared" si="53"/>
        <v>0.29262672811059909</v>
      </c>
      <c r="I105" s="57">
        <f t="shared" si="53"/>
        <v>0.625</v>
      </c>
      <c r="J105" s="57">
        <f t="shared" si="53"/>
        <v>1</v>
      </c>
      <c r="K105" s="57">
        <f t="shared" si="53"/>
        <v>1.6560509554140128</v>
      </c>
      <c r="L105" s="57">
        <f t="shared" si="53"/>
        <v>-0.12195121951219512</v>
      </c>
      <c r="M105" s="57">
        <f t="shared" si="53"/>
        <v>0.27927927927927926</v>
      </c>
      <c r="N105" s="16"/>
    </row>
    <row r="106" spans="1:14" ht="18" hidden="1" x14ac:dyDescent="0.25">
      <c r="A106" s="31">
        <v>2012</v>
      </c>
      <c r="B106" s="57">
        <f t="shared" ref="B106:M106" si="54">(B34-B35)/B35</f>
        <v>-0.22222222222222221</v>
      </c>
      <c r="C106" s="57">
        <f t="shared" si="54"/>
        <v>0.35245901639344263</v>
      </c>
      <c r="D106" s="57">
        <f t="shared" si="54"/>
        <v>0.04</v>
      </c>
      <c r="E106" s="57">
        <f t="shared" si="54"/>
        <v>-0.11801242236024845</v>
      </c>
      <c r="F106" s="57">
        <f t="shared" si="54"/>
        <v>-1.5228426395939087E-2</v>
      </c>
      <c r="G106" s="57">
        <f t="shared" si="54"/>
        <v>7.0512820512820512E-2</v>
      </c>
      <c r="H106" s="57">
        <f t="shared" si="54"/>
        <v>0.24</v>
      </c>
      <c r="I106" s="57">
        <f t="shared" si="54"/>
        <v>-4.2735042735042736E-2</v>
      </c>
      <c r="J106" s="57">
        <f t="shared" si="54"/>
        <v>5.9360730593607303E-2</v>
      </c>
      <c r="K106" s="57">
        <f t="shared" si="54"/>
        <v>-5.4216867469879519E-2</v>
      </c>
      <c r="L106" s="57">
        <f t="shared" si="54"/>
        <v>0.1388888888888889</v>
      </c>
      <c r="M106" s="57">
        <f t="shared" si="54"/>
        <v>0.9028571428571428</v>
      </c>
      <c r="N106" s="16"/>
    </row>
    <row r="107" spans="1:14" ht="18" hidden="1" x14ac:dyDescent="0.25">
      <c r="A107" s="31">
        <v>2011</v>
      </c>
      <c r="B107" s="57">
        <f t="shared" ref="B107:M107" si="55">(B35-B36)/B36</f>
        <v>0.34210526315789475</v>
      </c>
      <c r="C107" s="57">
        <f t="shared" si="55"/>
        <v>-0.11594202898550725</v>
      </c>
      <c r="D107" s="57">
        <f t="shared" si="55"/>
        <v>-0.15730337078651685</v>
      </c>
      <c r="E107" s="57">
        <f t="shared" si="55"/>
        <v>-0.2107843137254902</v>
      </c>
      <c r="F107" s="57">
        <f t="shared" si="55"/>
        <v>7.0652173913043473E-2</v>
      </c>
      <c r="G107" s="57">
        <f t="shared" si="55"/>
        <v>3.3112582781456956E-2</v>
      </c>
      <c r="H107" s="57">
        <f t="shared" si="55"/>
        <v>-8.1364829396325458E-2</v>
      </c>
      <c r="I107" s="57">
        <f t="shared" si="55"/>
        <v>2.0348837209302327E-2</v>
      </c>
      <c r="J107" s="57">
        <f t="shared" si="55"/>
        <v>-6.4102564102564097E-2</v>
      </c>
      <c r="K107" s="57">
        <f t="shared" si="55"/>
        <v>0.11409395973154363</v>
      </c>
      <c r="L107" s="57">
        <f t="shared" si="55"/>
        <v>0.16129032258064516</v>
      </c>
      <c r="M107" s="57">
        <f t="shared" si="55"/>
        <v>0.17449664429530201</v>
      </c>
      <c r="N107" s="16"/>
    </row>
    <row r="108" spans="1:14" ht="18" hidden="1" x14ac:dyDescent="0.25">
      <c r="A108" s="72">
        <v>2010</v>
      </c>
      <c r="B108" s="57">
        <f t="shared" ref="B108:M108" si="56">(B36-B37)/B37</f>
        <v>-0.16176470588235295</v>
      </c>
      <c r="C108" s="57">
        <f t="shared" si="56"/>
        <v>-0.17857142857142858</v>
      </c>
      <c r="D108" s="57">
        <f t="shared" si="56"/>
        <v>-2.7322404371584699E-2</v>
      </c>
      <c r="E108" s="57">
        <f t="shared" si="56"/>
        <v>0.14606741573033707</v>
      </c>
      <c r="F108" s="57">
        <f t="shared" si="56"/>
        <v>-0.16363636363636364</v>
      </c>
      <c r="G108" s="57">
        <f t="shared" si="56"/>
        <v>4.8611111111111112E-2</v>
      </c>
      <c r="H108" s="57">
        <f t="shared" si="56"/>
        <v>7.02247191011236E-2</v>
      </c>
      <c r="I108" s="57">
        <f t="shared" si="56"/>
        <v>-4.7091412742382273E-2</v>
      </c>
      <c r="J108" s="57">
        <f t="shared" si="56"/>
        <v>-8.4745762711864406E-3</v>
      </c>
      <c r="K108" s="57">
        <f t="shared" si="56"/>
        <v>-0.29383886255924169</v>
      </c>
      <c r="L108" s="57">
        <f t="shared" si="56"/>
        <v>-8.0000000000000002E-3</v>
      </c>
      <c r="M108" s="57">
        <f t="shared" si="56"/>
        <v>-5.6962025316455694E-2</v>
      </c>
      <c r="N108" s="16"/>
    </row>
    <row r="109" spans="1:14" ht="15.75" hidden="1" customHeight="1" x14ac:dyDescent="0.25">
      <c r="A109" s="31">
        <v>2009</v>
      </c>
      <c r="B109" s="57">
        <f t="shared" ref="B109:M109" si="57">(B37-B38)/B38</f>
        <v>-4.2253521126760563E-2</v>
      </c>
      <c r="C109" s="57">
        <f t="shared" si="57"/>
        <v>-7.6923076923076927E-2</v>
      </c>
      <c r="D109" s="57">
        <f t="shared" si="57"/>
        <v>0.10909090909090909</v>
      </c>
      <c r="E109" s="57">
        <f t="shared" si="57"/>
        <v>5.9523809523809521E-2</v>
      </c>
      <c r="F109" s="57">
        <f t="shared" si="57"/>
        <v>-4.7619047619047616E-2</v>
      </c>
      <c r="G109" s="57">
        <f t="shared" si="57"/>
        <v>0.20502092050209206</v>
      </c>
      <c r="H109" s="57">
        <f t="shared" si="57"/>
        <v>-8.247422680412371E-2</v>
      </c>
      <c r="I109" s="57">
        <f t="shared" si="57"/>
        <v>6.8047337278106509E-2</v>
      </c>
      <c r="J109" s="57">
        <f t="shared" si="57"/>
        <v>3.5087719298245612E-2</v>
      </c>
      <c r="K109" s="57">
        <f t="shared" si="57"/>
        <v>-4.7169811320754715E-3</v>
      </c>
      <c r="L109" s="57">
        <f t="shared" si="57"/>
        <v>-6.7164179104477612E-2</v>
      </c>
      <c r="M109" s="57">
        <f t="shared" si="57"/>
        <v>-0.17277486910994763</v>
      </c>
    </row>
    <row r="110" spans="1:14" ht="18" hidden="1" x14ac:dyDescent="0.25">
      <c r="A110" s="31">
        <v>2008</v>
      </c>
      <c r="B110" s="57">
        <f t="shared" ref="B110:M110" si="58">(B38-B39)/B39</f>
        <v>-3.4013605442176874E-2</v>
      </c>
      <c r="C110" s="57">
        <f t="shared" si="58"/>
        <v>0.15189873417721519</v>
      </c>
      <c r="D110" s="57">
        <f t="shared" si="58"/>
        <v>-7.8212290502793297E-2</v>
      </c>
      <c r="E110" s="57">
        <f t="shared" si="58"/>
        <v>-6.1452513966480445E-2</v>
      </c>
      <c r="F110" s="57">
        <f t="shared" si="58"/>
        <v>-0.15073529411764705</v>
      </c>
      <c r="G110" s="57">
        <f t="shared" si="58"/>
        <v>-0.35405405405405405</v>
      </c>
      <c r="H110" s="57">
        <f t="shared" si="58"/>
        <v>8.0779944289693595E-2</v>
      </c>
      <c r="I110" s="57">
        <f t="shared" si="58"/>
        <v>-5.0561797752808987E-2</v>
      </c>
      <c r="J110" s="57">
        <f t="shared" si="58"/>
        <v>0.22580645161290322</v>
      </c>
      <c r="K110" s="57">
        <f t="shared" si="58"/>
        <v>0.17127071823204421</v>
      </c>
      <c r="L110" s="57">
        <f t="shared" si="58"/>
        <v>-6.2937062937062943E-2</v>
      </c>
      <c r="M110" s="57">
        <f t="shared" si="58"/>
        <v>5.5248618784530384E-2</v>
      </c>
    </row>
    <row r="111" spans="1:14" ht="18" hidden="1" x14ac:dyDescent="0.25">
      <c r="A111" s="31">
        <v>2007</v>
      </c>
      <c r="B111" s="57">
        <f t="shared" ref="B111:M111" si="59">(B39-B40)/B40</f>
        <v>6.8493150684931503E-3</v>
      </c>
      <c r="C111" s="57">
        <f t="shared" si="59"/>
        <v>0</v>
      </c>
      <c r="D111" s="57">
        <f t="shared" si="59"/>
        <v>-2.185792349726776E-2</v>
      </c>
      <c r="E111" s="57">
        <f t="shared" si="59"/>
        <v>-1.1049723756906077E-2</v>
      </c>
      <c r="F111" s="57">
        <f t="shared" si="59"/>
        <v>0.18777292576419213</v>
      </c>
      <c r="G111" s="57">
        <f t="shared" si="59"/>
        <v>0.19741100323624594</v>
      </c>
      <c r="H111" s="57">
        <f t="shared" si="59"/>
        <v>-2.7777777777777779E-3</v>
      </c>
      <c r="I111" s="57">
        <f t="shared" si="59"/>
        <v>-2.9972752043596729E-2</v>
      </c>
      <c r="J111" s="57">
        <f t="shared" si="59"/>
        <v>-0.13084112149532709</v>
      </c>
      <c r="K111" s="57">
        <f t="shared" si="59"/>
        <v>6.4705882352941183E-2</v>
      </c>
      <c r="L111" s="57">
        <f t="shared" si="59"/>
        <v>-3.3783783783783786E-2</v>
      </c>
      <c r="M111" s="57">
        <f t="shared" si="59"/>
        <v>0.10365853658536585</v>
      </c>
    </row>
    <row r="112" spans="1:14" ht="18" hidden="1" x14ac:dyDescent="0.25">
      <c r="A112" s="80">
        <v>2006</v>
      </c>
      <c r="B112" s="57">
        <f t="shared" ref="B112:M112" si="60">(B40-B41)/B41</f>
        <v>6.8965517241379309E-3</v>
      </c>
      <c r="C112" s="57">
        <f t="shared" si="60"/>
        <v>-4.8192771084337352E-2</v>
      </c>
      <c r="D112" s="57">
        <f t="shared" si="60"/>
        <v>-8.0402010050251257E-2</v>
      </c>
      <c r="E112" s="57">
        <f t="shared" si="60"/>
        <v>-9.950248756218906E-2</v>
      </c>
      <c r="F112" s="57">
        <f t="shared" si="60"/>
        <v>-6.1475409836065573E-2</v>
      </c>
      <c r="G112" s="57">
        <f t="shared" si="60"/>
        <v>-8.3086053412462904E-2</v>
      </c>
      <c r="H112" s="57">
        <f t="shared" si="60"/>
        <v>-3.2258064516129031E-2</v>
      </c>
      <c r="I112" s="57">
        <f t="shared" si="60"/>
        <v>4.5584045584045586E-2</v>
      </c>
      <c r="J112" s="57">
        <f t="shared" si="60"/>
        <v>-0.10084033613445378</v>
      </c>
      <c r="K112" s="57">
        <f t="shared" si="60"/>
        <v>4.2944785276073622E-2</v>
      </c>
      <c r="L112" s="57">
        <f t="shared" si="60"/>
        <v>-8.6419753086419748E-2</v>
      </c>
      <c r="M112" s="57">
        <f t="shared" si="60"/>
        <v>-0.17171717171717171</v>
      </c>
    </row>
    <row r="113" spans="1:16" s="24" customFormat="1" ht="18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P113" s="39"/>
    </row>
    <row r="114" spans="1:16" s="24" customFormat="1" ht="18" x14ac:dyDescent="0.25">
      <c r="A114" s="67" t="s">
        <v>99</v>
      </c>
      <c r="B114" s="79"/>
      <c r="C114"/>
      <c r="D114"/>
      <c r="E114"/>
      <c r="F114"/>
      <c r="G114"/>
      <c r="H114"/>
      <c r="I114"/>
      <c r="J114"/>
      <c r="K114"/>
      <c r="L114"/>
      <c r="M114"/>
      <c r="P114" s="39"/>
    </row>
    <row r="115" spans="1:16" s="24" customFormat="1" ht="18" x14ac:dyDescent="0.25">
      <c r="A115" s="36">
        <v>2020</v>
      </c>
      <c r="B115" s="57">
        <f>(B50-B51)/B51</f>
        <v>-3.4965034965034968E-2</v>
      </c>
      <c r="C115" s="58">
        <f t="shared" ref="C115:M119" si="61">(C50-C51)/C51</f>
        <v>1.9417475728155338E-2</v>
      </c>
      <c r="D115" s="58">
        <f t="shared" si="61"/>
        <v>-9.3877551020408165E-2</v>
      </c>
      <c r="E115" s="58">
        <f t="shared" si="61"/>
        <v>-0.17893217893217894</v>
      </c>
      <c r="F115" s="58">
        <f t="shared" si="61"/>
        <v>-0.26557711950970375</v>
      </c>
      <c r="G115" s="58">
        <f t="shared" si="61"/>
        <v>-0.28067484662576686</v>
      </c>
      <c r="H115" s="58">
        <f t="shared" si="61"/>
        <v>-0.26374269005847956</v>
      </c>
      <c r="I115" s="58">
        <f t="shared" si="61"/>
        <v>-0.25936462778568042</v>
      </c>
      <c r="J115" s="58"/>
      <c r="K115" s="58"/>
      <c r="L115" s="58"/>
      <c r="M115" s="58"/>
    </row>
    <row r="116" spans="1:16" s="24" customFormat="1" ht="18" x14ac:dyDescent="0.25">
      <c r="A116" s="76">
        <v>2019</v>
      </c>
      <c r="B116" s="57">
        <f>(B51-B52)/B52</f>
        <v>-9.49367088607595E-2</v>
      </c>
      <c r="C116" s="59">
        <f t="shared" si="61"/>
        <v>4.0404040404040407E-2</v>
      </c>
      <c r="D116" s="59">
        <f t="shared" si="61"/>
        <v>4.0983606557377051E-3</v>
      </c>
      <c r="E116" s="59">
        <f t="shared" si="61"/>
        <v>3.7425149700598799E-2</v>
      </c>
      <c r="F116" s="59">
        <f t="shared" si="61"/>
        <v>5.0429184549356222E-2</v>
      </c>
      <c r="G116" s="59">
        <f t="shared" si="61"/>
        <v>-9.11854103343465E-3</v>
      </c>
      <c r="H116" s="59">
        <f t="shared" si="61"/>
        <v>-1.4409221902017291E-2</v>
      </c>
      <c r="I116" s="59">
        <f t="shared" si="61"/>
        <v>-2.5866050808314087E-2</v>
      </c>
      <c r="J116" s="59">
        <f t="shared" si="61"/>
        <v>-1.6522098306484923E-2</v>
      </c>
      <c r="K116" s="59">
        <f t="shared" si="61"/>
        <v>-1.8645357686453576E-2</v>
      </c>
      <c r="L116" s="59">
        <f t="shared" si="61"/>
        <v>-2.3029866858582222E-2</v>
      </c>
      <c r="M116" s="59">
        <f t="shared" si="61"/>
        <v>-1.8249408583981074E-2</v>
      </c>
    </row>
    <row r="117" spans="1:16" s="24" customFormat="1" ht="18" x14ac:dyDescent="0.25">
      <c r="A117" s="76">
        <v>2018</v>
      </c>
      <c r="B117" s="57">
        <f>(B52-B53)/B53</f>
        <v>0.11267605633802817</v>
      </c>
      <c r="C117" s="59">
        <f t="shared" si="61"/>
        <v>-5.1118210862619806E-2</v>
      </c>
      <c r="D117" s="59">
        <f t="shared" si="61"/>
        <v>-0.10622710622710622</v>
      </c>
      <c r="E117" s="59">
        <f t="shared" si="61"/>
        <v>-6.8340306834030681E-2</v>
      </c>
      <c r="F117" s="59">
        <f t="shared" si="61"/>
        <v>-2.4083769633507852E-2</v>
      </c>
      <c r="G117" s="59">
        <f t="shared" si="61"/>
        <v>-2.8064992614475627E-2</v>
      </c>
      <c r="H117" s="59">
        <f t="shared" si="61"/>
        <v>-1.0268111808328579E-2</v>
      </c>
      <c r="I117" s="59">
        <f t="shared" si="61"/>
        <v>-4.5977011494252873E-3</v>
      </c>
      <c r="J117" s="59">
        <f t="shared" si="61"/>
        <v>-3.8140643623361142E-2</v>
      </c>
      <c r="K117" s="59">
        <f t="shared" si="61"/>
        <v>-3.4887991186191701E-2</v>
      </c>
      <c r="L117" s="59">
        <f t="shared" si="61"/>
        <v>-3.3391304347826084E-2</v>
      </c>
      <c r="M117" s="59">
        <f t="shared" si="61"/>
        <v>-3.0471821756225426E-2</v>
      </c>
    </row>
    <row r="118" spans="1:16" s="24" customFormat="1" ht="18" x14ac:dyDescent="0.25">
      <c r="A118" s="76">
        <v>2017</v>
      </c>
      <c r="B118" s="57">
        <f>(B53-B54)/B54</f>
        <v>-0.11801242236024845</v>
      </c>
      <c r="C118" s="59">
        <f t="shared" si="61"/>
        <v>-6.3492063492063492E-3</v>
      </c>
      <c r="D118" s="59">
        <f t="shared" si="61"/>
        <v>3.0188679245283019E-2</v>
      </c>
      <c r="E118" s="59">
        <f t="shared" si="61"/>
        <v>9.8591549295774655E-3</v>
      </c>
      <c r="F118" s="59">
        <f t="shared" si="61"/>
        <v>-4.7856430707876374E-2</v>
      </c>
      <c r="G118" s="59">
        <f t="shared" si="61"/>
        <v>2.8875379939209727E-2</v>
      </c>
      <c r="H118" s="59">
        <f t="shared" si="61"/>
        <v>3.7892243931320305E-2</v>
      </c>
      <c r="I118" s="59">
        <f t="shared" si="61"/>
        <v>4.567307692307692E-2</v>
      </c>
      <c r="J118" s="59">
        <f t="shared" si="61"/>
        <v>7.2432893054963782E-2</v>
      </c>
      <c r="K118" s="59">
        <f t="shared" si="61"/>
        <v>7.8843106180665604E-2</v>
      </c>
      <c r="L118" s="59">
        <f t="shared" si="61"/>
        <v>6.4026646928201328E-2</v>
      </c>
      <c r="M118" s="59">
        <f t="shared" si="61"/>
        <v>5.8252427184466021E-2</v>
      </c>
    </row>
    <row r="119" spans="1:16" s="39" customFormat="1" ht="18" x14ac:dyDescent="0.25">
      <c r="A119" s="76">
        <v>2016</v>
      </c>
      <c r="B119" s="57">
        <f t="shared" ref="B119:M121" si="62">(B54-B55)/B55</f>
        <v>0.23846153846153847</v>
      </c>
      <c r="C119" s="59">
        <f t="shared" si="61"/>
        <v>0.14963503649635038</v>
      </c>
      <c r="D119" s="59">
        <f t="shared" si="61"/>
        <v>0.12050739957716702</v>
      </c>
      <c r="E119" s="59">
        <f t="shared" si="61"/>
        <v>7.9027355623100301E-2</v>
      </c>
      <c r="F119" s="59">
        <f t="shared" si="61"/>
        <v>0.15686274509803921</v>
      </c>
      <c r="G119" s="59">
        <f t="shared" si="61"/>
        <v>8.850289495450786E-2</v>
      </c>
      <c r="H119" s="59">
        <f t="shared" si="61"/>
        <v>3.6832412523020261E-2</v>
      </c>
      <c r="I119" s="59">
        <f t="shared" si="61"/>
        <v>3.6889332003988036E-2</v>
      </c>
      <c r="J119" s="59">
        <f t="shared" si="61"/>
        <v>2.803328953131844E-2</v>
      </c>
      <c r="K119" s="59">
        <f t="shared" si="61"/>
        <v>1.8974566007266856E-2</v>
      </c>
      <c r="L119" s="59">
        <f t="shared" si="61"/>
        <v>2.5816249050873197E-2</v>
      </c>
      <c r="M119" s="59">
        <f t="shared" si="61"/>
        <v>2.523995734091717E-2</v>
      </c>
    </row>
    <row r="120" spans="1:16" s="24" customFormat="1" ht="18" hidden="1" x14ac:dyDescent="0.25">
      <c r="A120" s="31">
        <v>2015</v>
      </c>
      <c r="B120" s="57">
        <f t="shared" si="62"/>
        <v>-0.42731277533039647</v>
      </c>
      <c r="C120" s="57">
        <f t="shared" ref="C120:M120" si="63">(C55-C56)/C56</f>
        <v>-0.37727272727272726</v>
      </c>
      <c r="D120" s="57">
        <f t="shared" si="63"/>
        <v>-0.3144927536231884</v>
      </c>
      <c r="E120" s="57">
        <f t="shared" si="63"/>
        <v>-0.29018338727076592</v>
      </c>
      <c r="F120" s="57">
        <f t="shared" si="63"/>
        <v>-0.27386934673366836</v>
      </c>
      <c r="G120" s="57">
        <f t="shared" si="63"/>
        <v>-0.16620689655172413</v>
      </c>
      <c r="H120" s="57">
        <f t="shared" si="63"/>
        <v>-0.12654155495978553</v>
      </c>
      <c r="I120" s="57">
        <f t="shared" si="63"/>
        <v>-0.10486390004462294</v>
      </c>
      <c r="J120" s="57">
        <f t="shared" si="63"/>
        <v>-8.2395498392282954E-2</v>
      </c>
      <c r="K120" s="57">
        <f t="shared" si="63"/>
        <v>-7.0195195195195195E-2</v>
      </c>
      <c r="L120" s="57">
        <f t="shared" si="63"/>
        <v>-5.7602862254025042E-2</v>
      </c>
      <c r="M120" s="57">
        <f t="shared" si="63"/>
        <v>-5.856760374832664E-2</v>
      </c>
    </row>
    <row r="121" spans="1:16" ht="18" hidden="1" x14ac:dyDescent="0.25">
      <c r="A121" s="31">
        <v>2014</v>
      </c>
      <c r="B121" s="57">
        <f t="shared" si="62"/>
        <v>0.50331125827814571</v>
      </c>
      <c r="C121" s="57">
        <f t="shared" si="62"/>
        <v>0.41025641025641024</v>
      </c>
      <c r="D121" s="57">
        <f t="shared" si="62"/>
        <v>0.38276553106212424</v>
      </c>
      <c r="E121" s="57">
        <f t="shared" si="62"/>
        <v>0.27862068965517239</v>
      </c>
      <c r="F121" s="57">
        <f t="shared" si="62"/>
        <v>0.20362903225806453</v>
      </c>
      <c r="G121" s="57">
        <f t="shared" si="62"/>
        <v>9.1867469879518077E-2</v>
      </c>
      <c r="H121" s="57">
        <f t="shared" si="62"/>
        <v>-1.270513499205929E-2</v>
      </c>
      <c r="I121" s="57">
        <f t="shared" si="62"/>
        <v>-7.9671457905544155E-2</v>
      </c>
      <c r="J121" s="57">
        <f t="shared" si="62"/>
        <v>-0.14177302518109694</v>
      </c>
      <c r="K121" s="57">
        <f t="shared" si="62"/>
        <v>-0.19662243667068757</v>
      </c>
      <c r="L121" s="57">
        <f t="shared" si="62"/>
        <v>-0.19219653179190752</v>
      </c>
      <c r="M121" s="57">
        <f t="shared" si="62"/>
        <v>-0.23108594956253217</v>
      </c>
    </row>
    <row r="122" spans="1:16" ht="18" hidden="1" x14ac:dyDescent="0.25">
      <c r="A122" s="31">
        <v>2013</v>
      </c>
      <c r="B122" s="57">
        <f>(B57-B58)/B58</f>
        <v>0.26890756302521007</v>
      </c>
      <c r="C122" s="57">
        <f t="shared" ref="C122:I122" si="64">(C57-C58)/C58</f>
        <v>9.8591549295774641E-2</v>
      </c>
      <c r="D122" s="57">
        <f t="shared" si="64"/>
        <v>0.13409090909090909</v>
      </c>
      <c r="E122" s="57">
        <f t="shared" si="64"/>
        <v>0.24570446735395188</v>
      </c>
      <c r="F122" s="57">
        <f t="shared" si="64"/>
        <v>0.27835051546391754</v>
      </c>
      <c r="G122" s="57">
        <f t="shared" si="64"/>
        <v>0.19639639639639639</v>
      </c>
      <c r="H122" s="57">
        <f t="shared" si="64"/>
        <v>0.22344559585492227</v>
      </c>
      <c r="I122" s="57">
        <f t="shared" si="64"/>
        <v>0.29521276595744683</v>
      </c>
      <c r="J122" s="57">
        <f>(J57-J58)/J58</f>
        <v>0.37263257575757575</v>
      </c>
      <c r="K122" s="57">
        <f>(K57-K58)/K58</f>
        <v>0.46143675628029968</v>
      </c>
      <c r="L122" s="57">
        <f t="shared" ref="L122:M122" si="65">(L57-L58)/L58</f>
        <v>0.42211261816687218</v>
      </c>
      <c r="M122" s="57">
        <f t="shared" si="65"/>
        <v>0.4049168474331164</v>
      </c>
    </row>
    <row r="123" spans="1:16" ht="18" hidden="1" x14ac:dyDescent="0.25">
      <c r="A123" s="31">
        <v>2012</v>
      </c>
      <c r="B123" s="57">
        <f t="shared" ref="B123:G123" si="66">(B58-B59)/B59</f>
        <v>-0.22222222222222221</v>
      </c>
      <c r="C123" s="57">
        <f t="shared" si="66"/>
        <v>3.272727272727273E-2</v>
      </c>
      <c r="D123" s="57">
        <f t="shared" si="66"/>
        <v>3.5294117647058823E-2</v>
      </c>
      <c r="E123" s="57">
        <f t="shared" si="66"/>
        <v>-6.8259385665529011E-3</v>
      </c>
      <c r="F123" s="57">
        <f t="shared" si="66"/>
        <v>-8.9399744572158362E-3</v>
      </c>
      <c r="G123" s="57">
        <f t="shared" si="66"/>
        <v>1.3698630136986301E-2</v>
      </c>
      <c r="H123" s="57">
        <f t="shared" ref="H123:M123" si="67">(H58-H59)/H59</f>
        <v>6.8512110726643594E-2</v>
      </c>
      <c r="I123" s="57">
        <f t="shared" si="67"/>
        <v>4.6770601336302897E-2</v>
      </c>
      <c r="J123" s="57">
        <f t="shared" si="67"/>
        <v>4.813895781637717E-2</v>
      </c>
      <c r="K123" s="57">
        <f t="shared" si="67"/>
        <v>4.0348464007336084E-2</v>
      </c>
      <c r="L123" s="57">
        <f t="shared" si="67"/>
        <v>4.645161290322581E-2</v>
      </c>
      <c r="M123" s="57">
        <f t="shared" si="67"/>
        <v>0.10639999999999999</v>
      </c>
    </row>
    <row r="124" spans="1:16" ht="18" hidden="1" x14ac:dyDescent="0.25">
      <c r="A124" s="76">
        <v>2011</v>
      </c>
      <c r="B124" s="57">
        <f t="shared" ref="B124:M124" si="68">(B59-B60)/B60</f>
        <v>0.34210526315789475</v>
      </c>
      <c r="C124" s="57">
        <f t="shared" si="68"/>
        <v>9.1269841269841265E-2</v>
      </c>
      <c r="D124" s="57">
        <f t="shared" si="68"/>
        <v>-1.1627906976744186E-2</v>
      </c>
      <c r="E124" s="57">
        <f t="shared" si="68"/>
        <v>-7.5709779179810727E-2</v>
      </c>
      <c r="F124" s="57">
        <f t="shared" si="68"/>
        <v>-4.2787286063569685E-2</v>
      </c>
      <c r="G124" s="57">
        <f t="shared" si="68"/>
        <v>-2.2321428571428572E-2</v>
      </c>
      <c r="H124" s="57">
        <f t="shared" si="68"/>
        <v>-3.7308461025982675E-2</v>
      </c>
      <c r="I124" s="57">
        <f t="shared" si="68"/>
        <v>-2.6558265582655827E-2</v>
      </c>
      <c r="J124" s="57">
        <f t="shared" si="68"/>
        <v>-3.0784030784030785E-2</v>
      </c>
      <c r="K124" s="57">
        <f t="shared" si="68"/>
        <v>-2.1095152603231599E-2</v>
      </c>
      <c r="L124" s="57">
        <f t="shared" si="68"/>
        <v>-1.1479591836734694E-2</v>
      </c>
      <c r="M124" s="57">
        <f t="shared" si="68"/>
        <v>-3.9984006397441024E-4</v>
      </c>
    </row>
    <row r="125" spans="1:16" ht="18" hidden="1" x14ac:dyDescent="0.25">
      <c r="A125" s="72">
        <v>2010</v>
      </c>
      <c r="B125" s="57">
        <f t="shared" ref="B125:M128" si="69">(B60-B61)/B61</f>
        <v>-0.16176470588235295</v>
      </c>
      <c r="C125" s="57">
        <f t="shared" si="69"/>
        <v>-0.17105263157894737</v>
      </c>
      <c r="D125" s="57">
        <f t="shared" si="69"/>
        <v>-0.11704312114989733</v>
      </c>
      <c r="E125" s="57">
        <f t="shared" si="69"/>
        <v>-4.6616541353383459E-2</v>
      </c>
      <c r="F125" s="57">
        <f t="shared" si="69"/>
        <v>-7.5706214689265541E-2</v>
      </c>
      <c r="G125" s="57">
        <f t="shared" si="69"/>
        <v>-4.5183290707587385E-2</v>
      </c>
      <c r="H125" s="57">
        <f t="shared" si="69"/>
        <v>-1.8312622629169391E-2</v>
      </c>
      <c r="I125" s="57">
        <f t="shared" si="69"/>
        <v>-2.3809523809523808E-2</v>
      </c>
      <c r="J125" s="57">
        <f t="shared" si="69"/>
        <v>-2.2107243650047036E-2</v>
      </c>
      <c r="K125" s="57">
        <f t="shared" si="69"/>
        <v>-4.6640992725716729E-2</v>
      </c>
      <c r="L125" s="57">
        <f t="shared" si="69"/>
        <v>-4.4679122664500408E-2</v>
      </c>
      <c r="M125" s="57">
        <f t="shared" si="69"/>
        <v>-4.5419847328244271E-2</v>
      </c>
    </row>
    <row r="126" spans="1:16" ht="18" hidden="1" x14ac:dyDescent="0.25">
      <c r="A126" s="72">
        <v>2009</v>
      </c>
      <c r="B126" s="57">
        <f t="shared" si="69"/>
        <v>-4.2253521126760563E-2</v>
      </c>
      <c r="C126" s="57">
        <f t="shared" si="69"/>
        <v>-6.1728395061728392E-2</v>
      </c>
      <c r="D126" s="57">
        <f t="shared" si="69"/>
        <v>-4.0899795501022499E-3</v>
      </c>
      <c r="E126" s="57">
        <f t="shared" si="69"/>
        <v>1.2176560121765601E-2</v>
      </c>
      <c r="F126" s="57">
        <f t="shared" si="69"/>
        <v>-3.3783783783783786E-3</v>
      </c>
      <c r="G126" s="57">
        <f t="shared" si="69"/>
        <v>4.0816326530612242E-2</v>
      </c>
      <c r="H126" s="57">
        <f t="shared" si="69"/>
        <v>9.240924092409241E-3</v>
      </c>
      <c r="I126" s="57">
        <f t="shared" si="69"/>
        <v>1.9967620075553156E-2</v>
      </c>
      <c r="J126" s="57">
        <f t="shared" si="69"/>
        <v>2.1624219125420469E-2</v>
      </c>
      <c r="K126" s="57">
        <f t="shared" si="69"/>
        <v>1.9188835586567816E-2</v>
      </c>
      <c r="L126" s="57">
        <f t="shared" si="69"/>
        <v>1.442109600329625E-2</v>
      </c>
      <c r="M126" s="57">
        <f t="shared" si="69"/>
        <v>7.6394194041252863E-4</v>
      </c>
    </row>
    <row r="127" spans="1:16" ht="18" hidden="1" x14ac:dyDescent="0.25">
      <c r="A127" s="72">
        <v>2008</v>
      </c>
      <c r="B127" s="57">
        <f t="shared" si="69"/>
        <v>-3.4013605442176874E-2</v>
      </c>
      <c r="C127" s="57">
        <f t="shared" si="69"/>
        <v>6.2295081967213117E-2</v>
      </c>
      <c r="D127" s="57">
        <f t="shared" si="69"/>
        <v>1.0330578512396695E-2</v>
      </c>
      <c r="E127" s="57">
        <f t="shared" si="69"/>
        <v>-9.0497737556561094E-3</v>
      </c>
      <c r="F127" s="57">
        <f t="shared" si="69"/>
        <v>-5.0267379679144387E-2</v>
      </c>
      <c r="G127" s="57">
        <f t="shared" si="69"/>
        <v>-0.1363984674329502</v>
      </c>
      <c r="H127" s="57">
        <f t="shared" si="69"/>
        <v>-8.9543269230769232E-2</v>
      </c>
      <c r="I127" s="57">
        <f t="shared" si="69"/>
        <v>-8.2673267326732677E-2</v>
      </c>
      <c r="J127" s="57">
        <f t="shared" si="69"/>
        <v>-5.6663644605621032E-2</v>
      </c>
      <c r="K127" s="57">
        <f t="shared" si="69"/>
        <v>-3.9379974863845833E-2</v>
      </c>
      <c r="L127" s="57">
        <f t="shared" si="69"/>
        <v>-4.0711462450592886E-2</v>
      </c>
      <c r="M127" s="57">
        <f t="shared" si="69"/>
        <v>-3.4304684618222059E-2</v>
      </c>
    </row>
    <row r="128" spans="1:16" ht="18" hidden="1" x14ac:dyDescent="0.25">
      <c r="A128" s="72">
        <v>2007</v>
      </c>
      <c r="B128" s="57">
        <f t="shared" si="69"/>
        <v>6.8493150684931503E-3</v>
      </c>
      <c r="C128" s="57">
        <f t="shared" si="69"/>
        <v>3.2894736842105261E-3</v>
      </c>
      <c r="D128" s="57">
        <f t="shared" si="69"/>
        <v>-6.1601642710472282E-3</v>
      </c>
      <c r="E128" s="57">
        <f t="shared" si="69"/>
        <v>-7.4850299401197605E-3</v>
      </c>
      <c r="F128" s="57">
        <f t="shared" si="69"/>
        <v>4.2363433667781496E-2</v>
      </c>
      <c r="G128" s="57">
        <f t="shared" si="69"/>
        <v>8.2089552238805971E-2</v>
      </c>
      <c r="H128" s="57">
        <f t="shared" si="69"/>
        <v>6.2579821200510852E-2</v>
      </c>
      <c r="I128" s="57">
        <f t="shared" si="69"/>
        <v>4.5007759958613551E-2</v>
      </c>
      <c r="J128" s="57">
        <f t="shared" si="69"/>
        <v>2.7480204937121566E-2</v>
      </c>
      <c r="K128" s="57">
        <f t="shared" si="69"/>
        <v>3.0211480362537766E-2</v>
      </c>
      <c r="L128" s="57">
        <f t="shared" si="69"/>
        <v>2.6369168356997971E-2</v>
      </c>
      <c r="M128" s="57">
        <f t="shared" si="69"/>
        <v>3.1190566755420313E-2</v>
      </c>
    </row>
  </sheetData>
  <phoneticPr fontId="12" type="noConversion"/>
  <pageMargins left="0.66" right="0.7" top="0.3" bottom="0.33" header="0.38" footer="0.3"/>
  <pageSetup scale="4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8:U111"/>
  <sheetViews>
    <sheetView zoomScale="65" zoomScaleNormal="65" workbookViewId="0">
      <selection activeCell="I88" sqref="I88"/>
    </sheetView>
  </sheetViews>
  <sheetFormatPr defaultRowHeight="15" x14ac:dyDescent="0.2"/>
  <cols>
    <col min="1" max="1" width="10.77734375" customWidth="1"/>
    <col min="2" max="14" width="11.88671875" customWidth="1"/>
  </cols>
  <sheetData>
    <row r="8" ht="13.5" customHeight="1" x14ac:dyDescent="0.2"/>
    <row r="21" spans="1:16" ht="10.5" customHeight="1" x14ac:dyDescent="0.2"/>
    <row r="23" spans="1:16" x14ac:dyDescent="0.2">
      <c r="P23" s="163"/>
    </row>
    <row r="26" spans="1:16" x14ac:dyDescent="0.2">
      <c r="C26" s="166"/>
      <c r="D26" s="166"/>
      <c r="E26" s="166"/>
      <c r="F26" s="167"/>
      <c r="G26" s="166"/>
      <c r="H26" s="166"/>
      <c r="I26" s="166"/>
      <c r="J26" s="166"/>
      <c r="K26" s="166"/>
      <c r="L26" s="166"/>
      <c r="M26" s="166"/>
    </row>
    <row r="27" spans="1:16" ht="20.25" customHeight="1" x14ac:dyDescent="0.25">
      <c r="A27" s="64" t="s">
        <v>106</v>
      </c>
      <c r="B27" s="2"/>
      <c r="C27" s="2"/>
      <c r="D27" s="2"/>
      <c r="E27" s="2"/>
      <c r="F27" s="23"/>
      <c r="G27" s="23"/>
      <c r="H27" s="2"/>
      <c r="I27" s="2"/>
      <c r="J27" s="2"/>
      <c r="K27" s="2"/>
      <c r="L27" s="2"/>
      <c r="M27" s="2"/>
      <c r="N27" s="2"/>
    </row>
    <row r="28" spans="1:16" s="29" customFormat="1" ht="20.25" customHeight="1" thickBot="1" x14ac:dyDescent="0.3">
      <c r="A28" s="84"/>
      <c r="B28" s="40" t="s">
        <v>48</v>
      </c>
      <c r="C28" s="40" t="s">
        <v>49</v>
      </c>
      <c r="D28" s="40" t="s">
        <v>50</v>
      </c>
      <c r="E28" s="40" t="s">
        <v>51</v>
      </c>
      <c r="F28" s="41" t="s">
        <v>52</v>
      </c>
      <c r="G28" s="40" t="s">
        <v>53</v>
      </c>
      <c r="H28" s="40" t="s">
        <v>54</v>
      </c>
      <c r="I28" s="40" t="s">
        <v>55</v>
      </c>
      <c r="J28" s="40" t="s">
        <v>56</v>
      </c>
      <c r="K28" s="40" t="s">
        <v>57</v>
      </c>
      <c r="L28" s="41" t="s">
        <v>58</v>
      </c>
      <c r="M28" s="40" t="s">
        <v>59</v>
      </c>
      <c r="N28" s="40" t="s">
        <v>60</v>
      </c>
    </row>
    <row r="29" spans="1:16" s="29" customFormat="1" ht="20.25" customHeight="1" x14ac:dyDescent="0.25">
      <c r="A29" s="170">
        <v>2020</v>
      </c>
      <c r="B29" s="187">
        <v>56880</v>
      </c>
      <c r="C29" s="184">
        <v>58975</v>
      </c>
      <c r="D29" s="184">
        <v>72095</v>
      </c>
      <c r="E29" s="184">
        <v>74580</v>
      </c>
      <c r="F29" s="184">
        <v>76519</v>
      </c>
      <c r="G29" s="184">
        <v>85981</v>
      </c>
      <c r="H29" s="184">
        <v>95503</v>
      </c>
      <c r="I29" s="184">
        <v>88860</v>
      </c>
      <c r="J29" s="184"/>
      <c r="K29" s="184"/>
      <c r="L29" s="184"/>
      <c r="M29" s="184"/>
      <c r="N29" s="184">
        <f>SUM(B29:M29)</f>
        <v>609393</v>
      </c>
    </row>
    <row r="30" spans="1:16" s="29" customFormat="1" ht="20.25" customHeight="1" x14ac:dyDescent="0.25">
      <c r="A30" s="80">
        <v>2019</v>
      </c>
      <c r="B30" s="191">
        <v>35714</v>
      </c>
      <c r="C30" s="186">
        <v>38340</v>
      </c>
      <c r="D30" s="186">
        <v>43193</v>
      </c>
      <c r="E30" s="186">
        <v>49998</v>
      </c>
      <c r="F30" s="186">
        <v>56058</v>
      </c>
      <c r="G30" s="186">
        <v>56259</v>
      </c>
      <c r="H30" s="186">
        <v>66419</v>
      </c>
      <c r="I30" s="186">
        <v>70768</v>
      </c>
      <c r="J30" s="186">
        <v>69646</v>
      </c>
      <c r="K30" s="186">
        <v>73437</v>
      </c>
      <c r="L30" s="186">
        <v>63908</v>
      </c>
      <c r="M30" s="186">
        <v>70546</v>
      </c>
      <c r="N30" s="186">
        <f>SUM(B30:M30)</f>
        <v>694286</v>
      </c>
    </row>
    <row r="31" spans="1:16" s="29" customFormat="1" ht="20.25" customHeight="1" x14ac:dyDescent="0.25">
      <c r="A31" s="80">
        <v>2018</v>
      </c>
      <c r="B31" s="186">
        <v>47432</v>
      </c>
      <c r="C31" s="186">
        <v>41211</v>
      </c>
      <c r="D31" s="186">
        <v>49998</v>
      </c>
      <c r="E31" s="186">
        <v>45380</v>
      </c>
      <c r="F31" s="186">
        <v>50321</v>
      </c>
      <c r="G31" s="186">
        <v>49113</v>
      </c>
      <c r="H31" s="186">
        <v>48960</v>
      </c>
      <c r="I31" s="186">
        <v>53284</v>
      </c>
      <c r="J31" s="186">
        <v>43038</v>
      </c>
      <c r="K31" s="186">
        <v>46405</v>
      </c>
      <c r="L31" s="186">
        <v>43041</v>
      </c>
      <c r="M31" s="186">
        <v>40142</v>
      </c>
      <c r="N31" s="176">
        <f t="shared" ref="N31:N33" si="0">SUM(B31:M31)</f>
        <v>558325</v>
      </c>
    </row>
    <row r="32" spans="1:16" s="29" customFormat="1" ht="20.25" customHeight="1" x14ac:dyDescent="0.25">
      <c r="A32" s="80">
        <v>2017</v>
      </c>
      <c r="B32" s="176">
        <v>49945</v>
      </c>
      <c r="C32" s="176">
        <v>44976</v>
      </c>
      <c r="D32" s="176">
        <v>52185</v>
      </c>
      <c r="E32" s="176">
        <v>47107</v>
      </c>
      <c r="F32" s="176">
        <v>58061</v>
      </c>
      <c r="G32" s="176">
        <v>62147</v>
      </c>
      <c r="H32" s="176">
        <v>53056</v>
      </c>
      <c r="I32" s="176">
        <v>61159</v>
      </c>
      <c r="J32" s="176">
        <v>52095</v>
      </c>
      <c r="K32" s="176">
        <v>56616</v>
      </c>
      <c r="L32" s="176">
        <v>54192</v>
      </c>
      <c r="M32" s="176">
        <v>48074</v>
      </c>
      <c r="N32" s="176">
        <f t="shared" si="0"/>
        <v>639613</v>
      </c>
    </row>
    <row r="33" spans="1:14" s="29" customFormat="1" ht="20.25" customHeight="1" x14ac:dyDescent="0.25">
      <c r="A33" s="80">
        <v>2016</v>
      </c>
      <c r="B33" s="176">
        <v>41498</v>
      </c>
      <c r="C33" s="176">
        <v>42833</v>
      </c>
      <c r="D33" s="176">
        <v>57053</v>
      </c>
      <c r="E33" s="176">
        <v>53044</v>
      </c>
      <c r="F33" s="176">
        <v>58125</v>
      </c>
      <c r="G33" s="176">
        <v>61924</v>
      </c>
      <c r="H33" s="176">
        <v>56993</v>
      </c>
      <c r="I33" s="176">
        <v>67476</v>
      </c>
      <c r="J33" s="176">
        <v>61913</v>
      </c>
      <c r="K33" s="176">
        <v>61006</v>
      </c>
      <c r="L33" s="176">
        <v>61996</v>
      </c>
      <c r="M33" s="176">
        <v>63338</v>
      </c>
      <c r="N33" s="176">
        <f t="shared" si="0"/>
        <v>687199</v>
      </c>
    </row>
    <row r="34" spans="1:14" s="29" customFormat="1" ht="20.25" hidden="1" customHeight="1" x14ac:dyDescent="0.25">
      <c r="A34" s="31">
        <v>2015</v>
      </c>
      <c r="B34" s="176">
        <v>39450</v>
      </c>
      <c r="C34" s="176">
        <v>44371</v>
      </c>
      <c r="D34" s="176">
        <v>51697</v>
      </c>
      <c r="E34" s="176">
        <v>51188</v>
      </c>
      <c r="F34" s="176">
        <v>50047</v>
      </c>
      <c r="G34" s="176">
        <v>55393</v>
      </c>
      <c r="H34" s="176">
        <v>55418</v>
      </c>
      <c r="I34" s="176">
        <v>54014</v>
      </c>
      <c r="J34" s="176">
        <v>49472</v>
      </c>
      <c r="K34" s="176">
        <v>51776</v>
      </c>
      <c r="L34" s="176">
        <v>43471</v>
      </c>
      <c r="M34" s="176">
        <v>50533</v>
      </c>
      <c r="N34" s="176">
        <f t="shared" ref="N34" si="1">SUM(B34:M34)</f>
        <v>596830</v>
      </c>
    </row>
    <row r="35" spans="1:14" s="29" customFormat="1" ht="20.25" hidden="1" customHeight="1" x14ac:dyDescent="0.25">
      <c r="A35" s="31">
        <v>2014</v>
      </c>
      <c r="B35" s="176">
        <v>27025</v>
      </c>
      <c r="C35" s="176">
        <v>25785</v>
      </c>
      <c r="D35" s="176">
        <v>29432</v>
      </c>
      <c r="E35" s="176">
        <v>32691</v>
      </c>
      <c r="F35" s="176">
        <v>33796</v>
      </c>
      <c r="G35" s="176">
        <v>37205</v>
      </c>
      <c r="H35" s="176">
        <v>40720</v>
      </c>
      <c r="I35" s="176">
        <v>38056</v>
      </c>
      <c r="J35" s="176">
        <v>39449</v>
      </c>
      <c r="K35" s="176">
        <v>44355</v>
      </c>
      <c r="L35" s="176">
        <v>37337</v>
      </c>
      <c r="M35" s="176">
        <v>44643</v>
      </c>
      <c r="N35" s="176">
        <f t="shared" ref="N35:N40" si="2">SUM(B35:M35)</f>
        <v>430494</v>
      </c>
    </row>
    <row r="36" spans="1:14" s="39" customFormat="1" ht="20.25" hidden="1" customHeight="1" x14ac:dyDescent="0.25">
      <c r="A36" s="31">
        <v>2013</v>
      </c>
      <c r="B36" s="176">
        <v>45055</v>
      </c>
      <c r="C36" s="176">
        <v>41087</v>
      </c>
      <c r="D36" s="176">
        <v>48451</v>
      </c>
      <c r="E36" s="176">
        <v>49142</v>
      </c>
      <c r="F36" s="176">
        <v>48597</v>
      </c>
      <c r="G36" s="176">
        <v>50338</v>
      </c>
      <c r="H36" s="176">
        <v>51160</v>
      </c>
      <c r="I36" s="176">
        <v>44573</v>
      </c>
      <c r="J36" s="176">
        <v>37747</v>
      </c>
      <c r="K36" s="176">
        <v>36077</v>
      </c>
      <c r="L36" s="176">
        <v>30699</v>
      </c>
      <c r="M36" s="176">
        <v>32744</v>
      </c>
      <c r="N36" s="176">
        <f t="shared" si="2"/>
        <v>515670</v>
      </c>
    </row>
    <row r="37" spans="1:14" s="29" customFormat="1" ht="20.25" hidden="1" customHeight="1" x14ac:dyDescent="0.25">
      <c r="A37" s="31">
        <v>2012</v>
      </c>
      <c r="B37" s="176">
        <v>31112</v>
      </c>
      <c r="C37" s="176">
        <v>34996</v>
      </c>
      <c r="D37" s="176">
        <v>40377</v>
      </c>
      <c r="E37" s="176">
        <v>36558</v>
      </c>
      <c r="F37" s="176">
        <v>39901</v>
      </c>
      <c r="G37" s="176">
        <v>41594</v>
      </c>
      <c r="H37" s="176">
        <v>43370</v>
      </c>
      <c r="I37" s="176">
        <v>47974</v>
      </c>
      <c r="J37" s="176">
        <v>39033</v>
      </c>
      <c r="K37" s="176">
        <v>51888</v>
      </c>
      <c r="L37" s="176">
        <v>45456</v>
      </c>
      <c r="M37" s="176">
        <v>52657</v>
      </c>
      <c r="N37" s="176">
        <f t="shared" si="2"/>
        <v>504916</v>
      </c>
    </row>
    <row r="38" spans="1:14" s="29" customFormat="1" ht="20.25" hidden="1" customHeight="1" x14ac:dyDescent="0.25">
      <c r="A38" s="80">
        <v>2011</v>
      </c>
      <c r="B38" s="146">
        <v>35069</v>
      </c>
      <c r="C38" s="146">
        <v>27959</v>
      </c>
      <c r="D38" s="146">
        <v>31019</v>
      </c>
      <c r="E38" s="146">
        <v>26775</v>
      </c>
      <c r="F38" s="146">
        <v>28678</v>
      </c>
      <c r="G38" s="146">
        <v>29857</v>
      </c>
      <c r="H38" s="146">
        <v>31396</v>
      </c>
      <c r="I38" s="146">
        <v>32155</v>
      </c>
      <c r="J38" s="146">
        <v>32373</v>
      </c>
      <c r="K38" s="146">
        <v>36840</v>
      </c>
      <c r="L38" s="146">
        <v>35194</v>
      </c>
      <c r="M38" s="146">
        <v>37340</v>
      </c>
      <c r="N38" s="146">
        <f t="shared" si="2"/>
        <v>384655</v>
      </c>
    </row>
    <row r="39" spans="1:14" s="39" customFormat="1" ht="20.85" hidden="1" customHeight="1" x14ac:dyDescent="0.25">
      <c r="A39" s="72">
        <v>2010</v>
      </c>
      <c r="B39" s="146">
        <v>29834</v>
      </c>
      <c r="C39" s="146">
        <v>28102</v>
      </c>
      <c r="D39" s="146">
        <v>35322</v>
      </c>
      <c r="E39" s="146">
        <v>33202</v>
      </c>
      <c r="F39" s="146">
        <v>30057</v>
      </c>
      <c r="G39" s="146">
        <v>35940</v>
      </c>
      <c r="H39" s="146">
        <v>33283</v>
      </c>
      <c r="I39" s="146">
        <v>38935</v>
      </c>
      <c r="J39" s="146">
        <v>40555</v>
      </c>
      <c r="K39" s="146">
        <v>44338</v>
      </c>
      <c r="L39" s="146">
        <v>46884</v>
      </c>
      <c r="M39" s="146">
        <v>45463</v>
      </c>
      <c r="N39" s="146">
        <f t="shared" si="2"/>
        <v>441915</v>
      </c>
    </row>
    <row r="40" spans="1:14" s="29" customFormat="1" ht="18" hidden="1" x14ac:dyDescent="0.25">
      <c r="A40" s="80">
        <v>2009</v>
      </c>
      <c r="B40" s="145">
        <v>34944</v>
      </c>
      <c r="C40" s="145">
        <v>40782</v>
      </c>
      <c r="D40" s="145">
        <v>46954</v>
      </c>
      <c r="E40" s="145">
        <v>47641</v>
      </c>
      <c r="F40" s="145">
        <v>49373</v>
      </c>
      <c r="G40" s="145">
        <v>54148</v>
      </c>
      <c r="H40" s="145">
        <v>46843</v>
      </c>
      <c r="I40" s="145">
        <v>35490</v>
      </c>
      <c r="J40" s="145">
        <v>37019</v>
      </c>
      <c r="K40" s="145">
        <v>34614</v>
      </c>
      <c r="L40" s="145">
        <v>34736</v>
      </c>
      <c r="M40" s="145">
        <v>38514</v>
      </c>
      <c r="N40" s="146">
        <f t="shared" si="2"/>
        <v>501058</v>
      </c>
    </row>
    <row r="41" spans="1:14" s="29" customFormat="1" ht="18" hidden="1" x14ac:dyDescent="0.25">
      <c r="A41" s="80">
        <v>2008</v>
      </c>
      <c r="B41" s="145">
        <v>41505</v>
      </c>
      <c r="C41" s="145">
        <v>51225</v>
      </c>
      <c r="D41" s="145">
        <v>53372</v>
      </c>
      <c r="E41" s="145">
        <v>52523</v>
      </c>
      <c r="F41" s="145">
        <v>43404</v>
      </c>
      <c r="G41" s="145">
        <v>39383</v>
      </c>
      <c r="H41" s="145">
        <v>37386</v>
      </c>
      <c r="I41" s="145">
        <v>32622</v>
      </c>
      <c r="J41" s="145">
        <v>30873</v>
      </c>
      <c r="K41" s="145">
        <v>32583</v>
      </c>
      <c r="L41" s="145">
        <v>24041</v>
      </c>
      <c r="M41" s="145">
        <v>27052</v>
      </c>
      <c r="N41" s="146">
        <f t="shared" ref="N41:N50" si="3">SUM(B41:M41)</f>
        <v>465969</v>
      </c>
    </row>
    <row r="42" spans="1:14" s="29" customFormat="1" ht="18" hidden="1" x14ac:dyDescent="0.25">
      <c r="A42" s="80">
        <v>2007</v>
      </c>
      <c r="B42" s="145">
        <v>60154</v>
      </c>
      <c r="C42" s="145">
        <v>56962</v>
      </c>
      <c r="D42" s="145">
        <v>68370</v>
      </c>
      <c r="E42" s="145">
        <v>63364</v>
      </c>
      <c r="F42" s="145">
        <v>66679</v>
      </c>
      <c r="G42" s="145">
        <v>67152</v>
      </c>
      <c r="H42" s="145">
        <v>58292</v>
      </c>
      <c r="I42" s="145">
        <v>61750</v>
      </c>
      <c r="J42" s="145">
        <v>46499</v>
      </c>
      <c r="K42" s="145">
        <v>51390</v>
      </c>
      <c r="L42" s="145">
        <v>44660</v>
      </c>
      <c r="M42" s="145">
        <v>45665</v>
      </c>
      <c r="N42" s="146">
        <f t="shared" si="3"/>
        <v>690937</v>
      </c>
    </row>
    <row r="43" spans="1:14" s="29" customFormat="1" ht="18" hidden="1" x14ac:dyDescent="0.25">
      <c r="A43" s="80">
        <v>2006</v>
      </c>
      <c r="B43" s="145">
        <v>65820</v>
      </c>
      <c r="C43" s="145">
        <v>63495</v>
      </c>
      <c r="D43" s="145">
        <v>80888</v>
      </c>
      <c r="E43" s="145">
        <v>69397</v>
      </c>
      <c r="F43" s="145">
        <v>80435</v>
      </c>
      <c r="G43" s="145">
        <v>76701</v>
      </c>
      <c r="H43" s="145">
        <v>68221</v>
      </c>
      <c r="I43" s="145">
        <v>73172</v>
      </c>
      <c r="J43" s="145">
        <v>67721</v>
      </c>
      <c r="K43" s="145">
        <v>71075</v>
      </c>
      <c r="L43" s="145">
        <v>66097</v>
      </c>
      <c r="M43" s="145">
        <v>68126</v>
      </c>
      <c r="N43" s="146">
        <f t="shared" si="3"/>
        <v>851148</v>
      </c>
    </row>
    <row r="44" spans="1:14" s="29" customFormat="1" ht="18" hidden="1" x14ac:dyDescent="0.25">
      <c r="A44" s="80">
        <v>2005</v>
      </c>
      <c r="B44" s="145">
        <v>60160</v>
      </c>
      <c r="C44" s="145">
        <v>59120</v>
      </c>
      <c r="D44" s="145">
        <v>80422</v>
      </c>
      <c r="E44" s="145">
        <v>73674</v>
      </c>
      <c r="F44" s="145">
        <v>74594</v>
      </c>
      <c r="G44" s="145">
        <v>84047</v>
      </c>
      <c r="H44" s="145">
        <v>80520</v>
      </c>
      <c r="I44" s="145">
        <v>89756</v>
      </c>
      <c r="J44" s="145">
        <v>84336</v>
      </c>
      <c r="K44" s="145">
        <v>80683</v>
      </c>
      <c r="L44" s="145">
        <v>77634</v>
      </c>
      <c r="M44" s="145">
        <v>79342</v>
      </c>
      <c r="N44" s="146">
        <f t="shared" si="3"/>
        <v>924288</v>
      </c>
    </row>
    <row r="45" spans="1:14" s="29" customFormat="1" ht="20.25" hidden="1" customHeight="1" x14ac:dyDescent="0.25">
      <c r="A45" s="80">
        <v>2004</v>
      </c>
      <c r="B45" s="145">
        <v>42988</v>
      </c>
      <c r="C45" s="145">
        <v>53142</v>
      </c>
      <c r="D45" s="145">
        <v>69794</v>
      </c>
      <c r="E45" s="145">
        <v>75326</v>
      </c>
      <c r="F45" s="145">
        <v>69654</v>
      </c>
      <c r="G45" s="145">
        <v>71927</v>
      </c>
      <c r="H45" s="145">
        <v>64147</v>
      </c>
      <c r="I45" s="145">
        <v>65819</v>
      </c>
      <c r="J45" s="145">
        <v>63452</v>
      </c>
      <c r="K45" s="145">
        <v>65036</v>
      </c>
      <c r="L45" s="145">
        <v>66306</v>
      </c>
      <c r="M45" s="145">
        <v>68549</v>
      </c>
      <c r="N45" s="146">
        <f t="shared" si="3"/>
        <v>776140</v>
      </c>
    </row>
    <row r="46" spans="1:14" s="29" customFormat="1" ht="18" hidden="1" x14ac:dyDescent="0.25">
      <c r="A46" s="80">
        <v>2003</v>
      </c>
      <c r="B46" s="145">
        <v>73684</v>
      </c>
      <c r="C46" s="145">
        <v>70449</v>
      </c>
      <c r="D46" s="145">
        <v>84602</v>
      </c>
      <c r="E46" s="145">
        <v>92482</v>
      </c>
      <c r="F46" s="145">
        <v>87181</v>
      </c>
      <c r="G46" s="145">
        <v>97428</v>
      </c>
      <c r="H46" s="145">
        <v>113088</v>
      </c>
      <c r="I46" s="145">
        <v>105332</v>
      </c>
      <c r="J46" s="145">
        <v>88615</v>
      </c>
      <c r="K46" s="145">
        <v>77935</v>
      </c>
      <c r="L46" s="145">
        <v>54497</v>
      </c>
      <c r="M46" s="145">
        <v>62269</v>
      </c>
      <c r="N46" s="146">
        <f t="shared" si="3"/>
        <v>1007562</v>
      </c>
    </row>
    <row r="47" spans="1:14" s="29" customFormat="1" ht="18" hidden="1" x14ac:dyDescent="0.25">
      <c r="A47" s="31">
        <v>2002</v>
      </c>
      <c r="B47" s="44">
        <v>49213</v>
      </c>
      <c r="C47" s="44">
        <v>47391</v>
      </c>
      <c r="D47" s="44">
        <v>52099</v>
      </c>
      <c r="E47" s="44">
        <v>50361</v>
      </c>
      <c r="F47" s="44">
        <v>49211</v>
      </c>
      <c r="G47" s="44">
        <v>46534</v>
      </c>
      <c r="H47" s="44">
        <v>52303</v>
      </c>
      <c r="I47" s="44">
        <v>59125</v>
      </c>
      <c r="J47" s="44">
        <v>60291</v>
      </c>
      <c r="K47" s="44">
        <v>79228</v>
      </c>
      <c r="L47" s="44">
        <v>72579</v>
      </c>
      <c r="M47" s="44">
        <v>82356</v>
      </c>
      <c r="N47" s="45">
        <f t="shared" si="3"/>
        <v>700691</v>
      </c>
    </row>
    <row r="48" spans="1:14" s="29" customFormat="1" ht="18" hidden="1" x14ac:dyDescent="0.25">
      <c r="A48" s="31">
        <v>2001</v>
      </c>
      <c r="B48" s="46">
        <v>28308</v>
      </c>
      <c r="C48" s="46">
        <v>32998</v>
      </c>
      <c r="D48" s="46">
        <v>43491</v>
      </c>
      <c r="E48" s="46">
        <v>45381</v>
      </c>
      <c r="F48" s="46">
        <v>49995</v>
      </c>
      <c r="G48" s="46">
        <v>50076</v>
      </c>
      <c r="H48" s="46">
        <v>44843</v>
      </c>
      <c r="I48" s="46">
        <v>48829</v>
      </c>
      <c r="J48" s="46">
        <v>40803</v>
      </c>
      <c r="K48" s="46">
        <v>54031</v>
      </c>
      <c r="L48" s="46">
        <v>56841</v>
      </c>
      <c r="M48" s="46">
        <v>58267</v>
      </c>
      <c r="N48" s="45">
        <f t="shared" si="3"/>
        <v>553863</v>
      </c>
    </row>
    <row r="49" spans="1:14" s="29" customFormat="1" ht="18" hidden="1" customHeight="1" x14ac:dyDescent="0.25">
      <c r="A49" s="31">
        <v>2000</v>
      </c>
      <c r="B49" s="46">
        <v>22991</v>
      </c>
      <c r="C49" s="46">
        <v>23237</v>
      </c>
      <c r="D49" s="46">
        <v>29231</v>
      </c>
      <c r="E49" s="46">
        <v>25333</v>
      </c>
      <c r="F49" s="46">
        <v>27654</v>
      </c>
      <c r="G49" s="46">
        <v>29731</v>
      </c>
      <c r="H49" s="46">
        <v>25348</v>
      </c>
      <c r="I49" s="46">
        <v>29265</v>
      </c>
      <c r="J49" s="46">
        <v>26353</v>
      </c>
      <c r="K49" s="46">
        <v>27770</v>
      </c>
      <c r="L49" s="46">
        <v>26145</v>
      </c>
      <c r="M49" s="46">
        <v>26625</v>
      </c>
      <c r="N49" s="45">
        <f t="shared" si="3"/>
        <v>319683</v>
      </c>
    </row>
    <row r="50" spans="1:14" s="29" customFormat="1" ht="18" hidden="1" customHeight="1" x14ac:dyDescent="0.25">
      <c r="A50" s="47">
        <v>1999</v>
      </c>
      <c r="B50" s="46">
        <v>34242</v>
      </c>
      <c r="C50" s="46">
        <v>37430</v>
      </c>
      <c r="D50" s="46">
        <v>41747</v>
      </c>
      <c r="E50" s="46">
        <v>39191</v>
      </c>
      <c r="F50" s="46">
        <v>36354</v>
      </c>
      <c r="G50" s="46">
        <v>37257</v>
      </c>
      <c r="H50" s="46">
        <v>35006</v>
      </c>
      <c r="I50" s="46">
        <v>33983</v>
      </c>
      <c r="J50" s="46">
        <v>29253</v>
      </c>
      <c r="K50" s="46">
        <v>29114</v>
      </c>
      <c r="L50" s="46">
        <v>29861</v>
      </c>
      <c r="M50" s="46">
        <v>29258</v>
      </c>
      <c r="N50" s="45">
        <f t="shared" si="3"/>
        <v>412696</v>
      </c>
    </row>
    <row r="51" spans="1:14" s="29" customFormat="1" ht="18" x14ac:dyDescent="0.25">
      <c r="K51" s="48"/>
      <c r="L51" s="48"/>
    </row>
    <row r="52" spans="1:14" s="29" customFormat="1" ht="18" hidden="1" customHeight="1" x14ac:dyDescent="0.25">
      <c r="A52" s="192" t="s">
        <v>107</v>
      </c>
      <c r="B52" s="192"/>
      <c r="C52" s="19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5"/>
    </row>
    <row r="53" spans="1:14" s="29" customFormat="1" ht="18" hidden="1" customHeight="1" x14ac:dyDescent="0.25">
      <c r="A53" s="51" t="s">
        <v>102</v>
      </c>
      <c r="B53" s="52"/>
      <c r="C53" s="53">
        <f t="shared" ref="C53:M54" si="4">+(C47+B47)/B47</f>
        <v>1.9629772621055412</v>
      </c>
      <c r="D53" s="53">
        <f t="shared" si="4"/>
        <v>2.0993437572534868</v>
      </c>
      <c r="E53" s="53">
        <f t="shared" si="4"/>
        <v>1.9666404345572852</v>
      </c>
      <c r="F53" s="53">
        <f t="shared" si="4"/>
        <v>1.9771648696411905</v>
      </c>
      <c r="G53" s="53">
        <f t="shared" si="4"/>
        <v>1.9456015931397452</v>
      </c>
      <c r="H53" s="53">
        <f t="shared" si="4"/>
        <v>2.1239738685692182</v>
      </c>
      <c r="I53" s="53">
        <f t="shared" si="4"/>
        <v>2.1304322887788465</v>
      </c>
      <c r="J53" s="53">
        <f t="shared" si="4"/>
        <v>2.0197209302325581</v>
      </c>
      <c r="K53" s="53">
        <f t="shared" si="4"/>
        <v>2.3140933140933142</v>
      </c>
      <c r="L53" s="53">
        <f t="shared" si="4"/>
        <v>1.9160776493158984</v>
      </c>
      <c r="M53" s="53">
        <f t="shared" si="4"/>
        <v>2.1347083867234322</v>
      </c>
      <c r="N53" s="45"/>
    </row>
    <row r="54" spans="1:14" s="29" customFormat="1" ht="18" hidden="1" customHeight="1" x14ac:dyDescent="0.25">
      <c r="A54" s="54" t="s">
        <v>101</v>
      </c>
      <c r="B54" s="52"/>
      <c r="C54" s="55">
        <f t="shared" si="4"/>
        <v>2.165677546983185</v>
      </c>
      <c r="D54" s="55">
        <f t="shared" si="4"/>
        <v>2.3179889690284261</v>
      </c>
      <c r="E54" s="55">
        <f t="shared" si="4"/>
        <v>2.0434572670207629</v>
      </c>
      <c r="F54" s="55">
        <f t="shared" si="4"/>
        <v>2.1016725061148938</v>
      </c>
      <c r="G54" s="55">
        <f t="shared" si="4"/>
        <v>2.0016201620162017</v>
      </c>
      <c r="H54" s="55">
        <f t="shared" si="4"/>
        <v>1.8954988417605241</v>
      </c>
      <c r="I54" s="55">
        <f t="shared" si="4"/>
        <v>2.0888878977766874</v>
      </c>
      <c r="J54" s="55">
        <f t="shared" si="4"/>
        <v>1.8356304655020581</v>
      </c>
      <c r="K54" s="55">
        <f t="shared" si="4"/>
        <v>2.3241918486385806</v>
      </c>
      <c r="L54" s="55">
        <f t="shared" si="4"/>
        <v>2.0520071810627232</v>
      </c>
      <c r="M54" s="55">
        <f t="shared" si="4"/>
        <v>2.0250875248500204</v>
      </c>
      <c r="N54" s="45"/>
    </row>
    <row r="55" spans="1:14" s="29" customFormat="1" ht="18" hidden="1" customHeight="1" x14ac:dyDescent="0.25">
      <c r="A55" s="29" t="s">
        <v>94</v>
      </c>
      <c r="B55" s="55"/>
      <c r="C55" s="55">
        <f t="shared" ref="C55:M56" si="5">+(C49-B49)/B49</f>
        <v>1.069983906746118E-2</v>
      </c>
      <c r="D55" s="55">
        <f t="shared" si="5"/>
        <v>0.25795068210182037</v>
      </c>
      <c r="E55" s="55">
        <f t="shared" si="5"/>
        <v>-0.13335157880332524</v>
      </c>
      <c r="F55" s="55">
        <f t="shared" si="5"/>
        <v>9.1619626574033872E-2</v>
      </c>
      <c r="G55" s="55">
        <f t="shared" si="5"/>
        <v>7.5106675345338825E-2</v>
      </c>
      <c r="H55" s="55">
        <f t="shared" si="5"/>
        <v>-0.14742188288318589</v>
      </c>
      <c r="I55" s="55">
        <f t="shared" si="5"/>
        <v>0.15452895691967808</v>
      </c>
      <c r="J55" s="55">
        <f t="shared" si="5"/>
        <v>-9.9504527592687506E-2</v>
      </c>
      <c r="K55" s="55">
        <f t="shared" si="5"/>
        <v>5.3769969263461469E-2</v>
      </c>
      <c r="L55" s="55">
        <f t="shared" si="5"/>
        <v>-5.8516384587684551E-2</v>
      </c>
      <c r="M55" s="55">
        <f t="shared" si="5"/>
        <v>1.835915088927137E-2</v>
      </c>
      <c r="N55" s="45"/>
    </row>
    <row r="56" spans="1:14" s="29" customFormat="1" ht="18" hidden="1" customHeight="1" x14ac:dyDescent="0.25">
      <c r="A56" s="56" t="s">
        <v>93</v>
      </c>
      <c r="B56" s="57"/>
      <c r="C56" s="57">
        <f t="shared" si="5"/>
        <v>9.3102038432334555E-2</v>
      </c>
      <c r="D56" s="57">
        <f t="shared" si="5"/>
        <v>0.11533529254608603</v>
      </c>
      <c r="E56" s="57">
        <f t="shared" si="5"/>
        <v>-6.1225956356145354E-2</v>
      </c>
      <c r="F56" s="57">
        <f t="shared" si="5"/>
        <v>-7.2389068918884442E-2</v>
      </c>
      <c r="G56" s="57">
        <f t="shared" si="5"/>
        <v>2.4839082356824558E-2</v>
      </c>
      <c r="H56" s="57">
        <f t="shared" si="5"/>
        <v>-6.0418176450063074E-2</v>
      </c>
      <c r="I56" s="57">
        <f t="shared" si="5"/>
        <v>-2.9223561675141403E-2</v>
      </c>
      <c r="J56" s="57">
        <f t="shared" si="5"/>
        <v>-0.1391872406791631</v>
      </c>
      <c r="K56" s="57">
        <f t="shared" si="5"/>
        <v>-4.7516494034799848E-3</v>
      </c>
      <c r="L56" s="57">
        <f t="shared" si="5"/>
        <v>2.5657759153671772E-2</v>
      </c>
      <c r="M56" s="57">
        <f t="shared" si="5"/>
        <v>-2.0193563510933994E-2</v>
      </c>
      <c r="N56" s="45"/>
    </row>
    <row r="57" spans="1:14" s="29" customFormat="1" ht="18" hidden="1" x14ac:dyDescent="0.25">
      <c r="K57" s="48"/>
      <c r="L57" s="48"/>
      <c r="N57" s="45"/>
    </row>
    <row r="58" spans="1:14" s="29" customFormat="1" ht="18" hidden="1" x14ac:dyDescent="0.25">
      <c r="A58" s="192" t="s">
        <v>108</v>
      </c>
      <c r="B58" s="192"/>
      <c r="C58" s="19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45"/>
    </row>
    <row r="59" spans="1:14" s="29" customFormat="1" ht="18" hidden="1" x14ac:dyDescent="0.25">
      <c r="A59" s="30" t="s">
        <v>105</v>
      </c>
      <c r="B59" s="53">
        <f t="shared" ref="B59:N61" si="6">+(B47-B48)/B48</f>
        <v>0.73848382082803443</v>
      </c>
      <c r="C59" s="53">
        <f t="shared" si="6"/>
        <v>0.43617795017879873</v>
      </c>
      <c r="D59" s="53">
        <f t="shared" si="6"/>
        <v>0.19792600767974983</v>
      </c>
      <c r="E59" s="53">
        <f t="shared" si="6"/>
        <v>0.10973755536457989</v>
      </c>
      <c r="F59" s="53">
        <f t="shared" si="6"/>
        <v>-1.5681568156815682E-2</v>
      </c>
      <c r="G59" s="53">
        <f t="shared" si="6"/>
        <v>-7.0732486620337084E-2</v>
      </c>
      <c r="H59" s="53">
        <f t="shared" si="6"/>
        <v>0.16635818299400129</v>
      </c>
      <c r="I59" s="53">
        <f t="shared" si="6"/>
        <v>0.21085830141923856</v>
      </c>
      <c r="J59" s="53">
        <f t="shared" si="6"/>
        <v>0.47761194029850745</v>
      </c>
      <c r="K59" s="53">
        <f t="shared" si="6"/>
        <v>0.46634339545816289</v>
      </c>
      <c r="L59" s="53">
        <f t="shared" si="6"/>
        <v>0.27687760595344907</v>
      </c>
      <c r="M59" s="53">
        <f t="shared" si="6"/>
        <v>0.41342440832718347</v>
      </c>
      <c r="N59" s="53">
        <f t="shared" si="6"/>
        <v>0.26509804771215989</v>
      </c>
    </row>
    <row r="60" spans="1:14" s="29" customFormat="1" ht="18" hidden="1" x14ac:dyDescent="0.25">
      <c r="A60" s="31" t="s">
        <v>104</v>
      </c>
      <c r="B60" s="55">
        <f t="shared" si="6"/>
        <v>0.23126440781175242</v>
      </c>
      <c r="C60" s="55">
        <f t="shared" si="6"/>
        <v>0.42006283083014156</v>
      </c>
      <c r="D60" s="55">
        <f t="shared" si="6"/>
        <v>0.48783825390852176</v>
      </c>
      <c r="E60" s="55">
        <f t="shared" si="6"/>
        <v>0.79137883393202546</v>
      </c>
      <c r="F60" s="55">
        <f t="shared" si="6"/>
        <v>0.80787589498806678</v>
      </c>
      <c r="G60" s="55">
        <f t="shared" si="6"/>
        <v>0.68430257979886311</v>
      </c>
      <c r="H60" s="55">
        <f t="shared" si="6"/>
        <v>0.76909420861606437</v>
      </c>
      <c r="I60" s="55">
        <f t="shared" si="6"/>
        <v>0.66851187425252012</v>
      </c>
      <c r="J60" s="55">
        <f t="shared" si="6"/>
        <v>0.54832466891814968</v>
      </c>
      <c r="K60" s="55">
        <f t="shared" si="6"/>
        <v>0.94566078501980555</v>
      </c>
      <c r="L60" s="55">
        <f t="shared" si="6"/>
        <v>1.1740676993689041</v>
      </c>
      <c r="M60" s="55">
        <f t="shared" si="6"/>
        <v>1.1884319248826292</v>
      </c>
      <c r="N60" s="55">
        <f t="shared" si="6"/>
        <v>0.73253817062527571</v>
      </c>
    </row>
    <row r="61" spans="1:14" s="29" customFormat="1" ht="18" hidden="1" customHeight="1" x14ac:dyDescent="0.25">
      <c r="A61" s="47" t="s">
        <v>103</v>
      </c>
      <c r="B61" s="55">
        <f t="shared" si="6"/>
        <v>-0.32857309736580809</v>
      </c>
      <c r="C61" s="55">
        <f t="shared" si="6"/>
        <v>-0.37918781725888323</v>
      </c>
      <c r="D61" s="55">
        <f t="shared" si="6"/>
        <v>-0.29980597408196996</v>
      </c>
      <c r="E61" s="55">
        <f t="shared" si="6"/>
        <v>-0.35360159220229131</v>
      </c>
      <c r="F61" s="55">
        <f t="shared" si="6"/>
        <v>-0.23931341805578479</v>
      </c>
      <c r="G61" s="55">
        <f t="shared" si="6"/>
        <v>-0.20200230829105939</v>
      </c>
      <c r="H61" s="55">
        <f t="shared" si="6"/>
        <v>-0.2758955607610124</v>
      </c>
      <c r="I61" s="55">
        <f t="shared" si="6"/>
        <v>-0.13883412294382486</v>
      </c>
      <c r="J61" s="55">
        <f t="shared" si="6"/>
        <v>-9.9135131439510471E-2</v>
      </c>
      <c r="K61" s="55">
        <f t="shared" si="6"/>
        <v>-4.6163357834718692E-2</v>
      </c>
      <c r="L61" s="55">
        <f t="shared" si="6"/>
        <v>-0.12444325374233951</v>
      </c>
      <c r="M61" s="55">
        <f t="shared" si="6"/>
        <v>-8.9992480689042309E-2</v>
      </c>
      <c r="N61" s="55">
        <f t="shared" si="6"/>
        <v>-0.2253789714462946</v>
      </c>
    </row>
    <row r="62" spans="1:14" s="29" customFormat="1" ht="18" hidden="1" customHeight="1" x14ac:dyDescent="0.25">
      <c r="K62" s="48"/>
      <c r="L62" s="48"/>
    </row>
    <row r="63" spans="1:14" s="29" customFormat="1" ht="18" x14ac:dyDescent="0.25">
      <c r="A63" s="143" t="s">
        <v>113</v>
      </c>
      <c r="B63" s="143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s="29" customFormat="1" ht="18" x14ac:dyDescent="0.25">
      <c r="A64" s="30">
        <v>2020</v>
      </c>
      <c r="B64" s="180">
        <f t="shared" ref="B64:B73" si="7">B29</f>
        <v>56880</v>
      </c>
      <c r="C64" s="189">
        <f t="shared" ref="C64:M65" si="8">C29+B64</f>
        <v>115855</v>
      </c>
      <c r="D64" s="189">
        <f t="shared" si="8"/>
        <v>187950</v>
      </c>
      <c r="E64" s="189">
        <f t="shared" si="8"/>
        <v>262530</v>
      </c>
      <c r="F64" s="189">
        <f t="shared" si="8"/>
        <v>339049</v>
      </c>
      <c r="G64" s="189">
        <f t="shared" si="8"/>
        <v>425030</v>
      </c>
      <c r="H64" s="189">
        <f t="shared" si="8"/>
        <v>520533</v>
      </c>
      <c r="I64" s="189">
        <f t="shared" si="8"/>
        <v>609393</v>
      </c>
      <c r="J64" s="53"/>
      <c r="K64" s="53"/>
      <c r="L64" s="53"/>
      <c r="M64" s="53"/>
      <c r="N64" s="55"/>
    </row>
    <row r="65" spans="1:21" s="29" customFormat="1" ht="18" x14ac:dyDescent="0.25">
      <c r="A65" s="31">
        <v>2019</v>
      </c>
      <c r="B65" s="181">
        <f t="shared" si="7"/>
        <v>35714</v>
      </c>
      <c r="C65" s="176">
        <f t="shared" si="8"/>
        <v>74054</v>
      </c>
      <c r="D65" s="176">
        <f t="shared" si="8"/>
        <v>117247</v>
      </c>
      <c r="E65" s="176">
        <f t="shared" si="8"/>
        <v>167245</v>
      </c>
      <c r="F65" s="176">
        <f t="shared" si="8"/>
        <v>223303</v>
      </c>
      <c r="G65" s="176">
        <f t="shared" si="8"/>
        <v>279562</v>
      </c>
      <c r="H65" s="176">
        <f t="shared" si="8"/>
        <v>345981</v>
      </c>
      <c r="I65" s="176">
        <f t="shared" si="8"/>
        <v>416749</v>
      </c>
      <c r="J65" s="176">
        <f t="shared" si="8"/>
        <v>486395</v>
      </c>
      <c r="K65" s="176">
        <f t="shared" si="8"/>
        <v>559832</v>
      </c>
      <c r="L65" s="176">
        <f t="shared" si="8"/>
        <v>623740</v>
      </c>
      <c r="M65" s="176">
        <f t="shared" si="8"/>
        <v>694286</v>
      </c>
      <c r="N65" s="55"/>
    </row>
    <row r="66" spans="1:21" s="29" customFormat="1" ht="18" x14ac:dyDescent="0.25">
      <c r="A66" s="31">
        <v>2018</v>
      </c>
      <c r="B66" s="181">
        <f t="shared" si="7"/>
        <v>47432</v>
      </c>
      <c r="C66" s="176">
        <f t="shared" ref="C66:M66" si="9">C31+B66</f>
        <v>88643</v>
      </c>
      <c r="D66" s="176">
        <f t="shared" si="9"/>
        <v>138641</v>
      </c>
      <c r="E66" s="176">
        <f t="shared" si="9"/>
        <v>184021</v>
      </c>
      <c r="F66" s="176">
        <f t="shared" si="9"/>
        <v>234342</v>
      </c>
      <c r="G66" s="176">
        <f t="shared" si="9"/>
        <v>283455</v>
      </c>
      <c r="H66" s="176">
        <f t="shared" si="9"/>
        <v>332415</v>
      </c>
      <c r="I66" s="176">
        <f t="shared" si="9"/>
        <v>385699</v>
      </c>
      <c r="J66" s="176">
        <f t="shared" si="9"/>
        <v>428737</v>
      </c>
      <c r="K66" s="176">
        <f t="shared" si="9"/>
        <v>475142</v>
      </c>
      <c r="L66" s="176">
        <f t="shared" si="9"/>
        <v>518183</v>
      </c>
      <c r="M66" s="176">
        <f t="shared" si="9"/>
        <v>558325</v>
      </c>
      <c r="N66" s="55"/>
    </row>
    <row r="67" spans="1:21" s="29" customFormat="1" ht="18" x14ac:dyDescent="0.25">
      <c r="A67" s="31">
        <v>2017</v>
      </c>
      <c r="B67" s="181">
        <f t="shared" si="7"/>
        <v>49945</v>
      </c>
      <c r="C67" s="176">
        <f t="shared" ref="C67:M67" si="10">C32+B67</f>
        <v>94921</v>
      </c>
      <c r="D67" s="176">
        <f t="shared" si="10"/>
        <v>147106</v>
      </c>
      <c r="E67" s="176">
        <f t="shared" si="10"/>
        <v>194213</v>
      </c>
      <c r="F67" s="176">
        <f t="shared" si="10"/>
        <v>252274</v>
      </c>
      <c r="G67" s="176">
        <f t="shared" si="10"/>
        <v>314421</v>
      </c>
      <c r="H67" s="176">
        <f t="shared" si="10"/>
        <v>367477</v>
      </c>
      <c r="I67" s="176">
        <f t="shared" si="10"/>
        <v>428636</v>
      </c>
      <c r="J67" s="176">
        <f t="shared" si="10"/>
        <v>480731</v>
      </c>
      <c r="K67" s="176">
        <f t="shared" si="10"/>
        <v>537347</v>
      </c>
      <c r="L67" s="176">
        <f t="shared" si="10"/>
        <v>591539</v>
      </c>
      <c r="M67" s="176">
        <f t="shared" si="10"/>
        <v>639613</v>
      </c>
      <c r="N67" s="55"/>
      <c r="U67" s="29" t="s">
        <v>159</v>
      </c>
    </row>
    <row r="68" spans="1:21" s="39" customFormat="1" ht="18" x14ac:dyDescent="0.25">
      <c r="A68" s="31">
        <v>2016</v>
      </c>
      <c r="B68" s="181">
        <f t="shared" si="7"/>
        <v>41498</v>
      </c>
      <c r="C68" s="176">
        <f t="shared" ref="C68:M68" si="11">C33+B68</f>
        <v>84331</v>
      </c>
      <c r="D68" s="176">
        <f t="shared" si="11"/>
        <v>141384</v>
      </c>
      <c r="E68" s="176">
        <f t="shared" si="11"/>
        <v>194428</v>
      </c>
      <c r="F68" s="176">
        <f t="shared" si="11"/>
        <v>252553</v>
      </c>
      <c r="G68" s="176">
        <f t="shared" si="11"/>
        <v>314477</v>
      </c>
      <c r="H68" s="176">
        <f t="shared" si="11"/>
        <v>371470</v>
      </c>
      <c r="I68" s="176">
        <f t="shared" si="11"/>
        <v>438946</v>
      </c>
      <c r="J68" s="176">
        <f t="shared" si="11"/>
        <v>500859</v>
      </c>
      <c r="K68" s="176">
        <f t="shared" si="11"/>
        <v>561865</v>
      </c>
      <c r="L68" s="176">
        <f t="shared" si="11"/>
        <v>623861</v>
      </c>
      <c r="M68" s="176">
        <f t="shared" si="11"/>
        <v>687199</v>
      </c>
      <c r="N68" s="53"/>
      <c r="O68" s="29"/>
    </row>
    <row r="69" spans="1:21" s="29" customFormat="1" ht="18" hidden="1" x14ac:dyDescent="0.25">
      <c r="A69" s="31">
        <v>2015</v>
      </c>
      <c r="B69" s="177">
        <f t="shared" si="7"/>
        <v>39450</v>
      </c>
      <c r="C69" s="177">
        <f t="shared" ref="C69:M69" si="12">C34+B69</f>
        <v>83821</v>
      </c>
      <c r="D69" s="177">
        <f t="shared" si="12"/>
        <v>135518</v>
      </c>
      <c r="E69" s="177">
        <f t="shared" si="12"/>
        <v>186706</v>
      </c>
      <c r="F69" s="177">
        <f t="shared" si="12"/>
        <v>236753</v>
      </c>
      <c r="G69" s="177">
        <f t="shared" si="12"/>
        <v>292146</v>
      </c>
      <c r="H69" s="177">
        <f t="shared" si="12"/>
        <v>347564</v>
      </c>
      <c r="I69" s="177">
        <f t="shared" si="12"/>
        <v>401578</v>
      </c>
      <c r="J69" s="177">
        <f t="shared" si="12"/>
        <v>451050</v>
      </c>
      <c r="K69" s="177">
        <f t="shared" si="12"/>
        <v>502826</v>
      </c>
      <c r="L69" s="177">
        <f t="shared" si="12"/>
        <v>546297</v>
      </c>
      <c r="M69" s="177">
        <f t="shared" si="12"/>
        <v>596830</v>
      </c>
      <c r="N69" s="55"/>
    </row>
    <row r="70" spans="1:21" s="29" customFormat="1" ht="18" hidden="1" x14ac:dyDescent="0.25">
      <c r="A70" s="31">
        <v>2014</v>
      </c>
      <c r="B70" s="177">
        <f t="shared" si="7"/>
        <v>27025</v>
      </c>
      <c r="C70" s="177">
        <f t="shared" ref="C70:M70" si="13">C35+B70</f>
        <v>52810</v>
      </c>
      <c r="D70" s="177">
        <f t="shared" si="13"/>
        <v>82242</v>
      </c>
      <c r="E70" s="177">
        <f t="shared" si="13"/>
        <v>114933</v>
      </c>
      <c r="F70" s="177">
        <f t="shared" si="13"/>
        <v>148729</v>
      </c>
      <c r="G70" s="177">
        <f t="shared" si="13"/>
        <v>185934</v>
      </c>
      <c r="H70" s="177">
        <f t="shared" si="13"/>
        <v>226654</v>
      </c>
      <c r="I70" s="177">
        <f t="shared" si="13"/>
        <v>264710</v>
      </c>
      <c r="J70" s="177">
        <f t="shared" si="13"/>
        <v>304159</v>
      </c>
      <c r="K70" s="177">
        <f t="shared" si="13"/>
        <v>348514</v>
      </c>
      <c r="L70" s="177">
        <f t="shared" si="13"/>
        <v>385851</v>
      </c>
      <c r="M70" s="177">
        <f t="shared" si="13"/>
        <v>430494</v>
      </c>
      <c r="N70" s="55"/>
    </row>
    <row r="71" spans="1:21" s="29" customFormat="1" ht="18" hidden="1" x14ac:dyDescent="0.25">
      <c r="A71" s="31">
        <v>2013</v>
      </c>
      <c r="B71" s="177">
        <f t="shared" si="7"/>
        <v>45055</v>
      </c>
      <c r="C71" s="176">
        <f t="shared" ref="C71:M71" si="14">C36+B71</f>
        <v>86142</v>
      </c>
      <c r="D71" s="176">
        <f t="shared" si="14"/>
        <v>134593</v>
      </c>
      <c r="E71" s="176">
        <f t="shared" si="14"/>
        <v>183735</v>
      </c>
      <c r="F71" s="176">
        <f t="shared" si="14"/>
        <v>232332</v>
      </c>
      <c r="G71" s="176">
        <f t="shared" si="14"/>
        <v>282670</v>
      </c>
      <c r="H71" s="176">
        <f t="shared" si="14"/>
        <v>333830</v>
      </c>
      <c r="I71" s="176">
        <f t="shared" si="14"/>
        <v>378403</v>
      </c>
      <c r="J71" s="176">
        <f t="shared" si="14"/>
        <v>416150</v>
      </c>
      <c r="K71" s="176">
        <f t="shared" si="14"/>
        <v>452227</v>
      </c>
      <c r="L71" s="176">
        <f t="shared" si="14"/>
        <v>482926</v>
      </c>
      <c r="M71" s="176">
        <f t="shared" si="14"/>
        <v>515670</v>
      </c>
      <c r="N71" s="55"/>
    </row>
    <row r="72" spans="1:21" s="29" customFormat="1" ht="18" hidden="1" x14ac:dyDescent="0.25">
      <c r="A72" s="31">
        <v>2012</v>
      </c>
      <c r="B72" s="175">
        <f t="shared" si="7"/>
        <v>31112</v>
      </c>
      <c r="C72" s="175">
        <f t="shared" ref="C72:M72" si="15">C37+B72</f>
        <v>66108</v>
      </c>
      <c r="D72" s="175">
        <f t="shared" si="15"/>
        <v>106485</v>
      </c>
      <c r="E72" s="175">
        <f t="shared" si="15"/>
        <v>143043</v>
      </c>
      <c r="F72" s="175">
        <f t="shared" si="15"/>
        <v>182944</v>
      </c>
      <c r="G72" s="175">
        <f t="shared" si="15"/>
        <v>224538</v>
      </c>
      <c r="H72" s="175">
        <f t="shared" si="15"/>
        <v>267908</v>
      </c>
      <c r="I72" s="175">
        <f t="shared" si="15"/>
        <v>315882</v>
      </c>
      <c r="J72" s="175">
        <f t="shared" si="15"/>
        <v>354915</v>
      </c>
      <c r="K72" s="175">
        <f t="shared" si="15"/>
        <v>406803</v>
      </c>
      <c r="L72" s="175">
        <f t="shared" si="15"/>
        <v>452259</v>
      </c>
      <c r="M72" s="175">
        <f t="shared" si="15"/>
        <v>504916</v>
      </c>
      <c r="N72" s="55"/>
    </row>
    <row r="73" spans="1:21" s="29" customFormat="1" ht="20.25" hidden="1" customHeight="1" x14ac:dyDescent="0.25">
      <c r="A73" s="80">
        <v>2011</v>
      </c>
      <c r="B73" s="150">
        <f t="shared" si="7"/>
        <v>35069</v>
      </c>
      <c r="C73" s="150">
        <f t="shared" ref="C73:M73" si="16">C38+B73</f>
        <v>63028</v>
      </c>
      <c r="D73" s="150">
        <f t="shared" si="16"/>
        <v>94047</v>
      </c>
      <c r="E73" s="150">
        <f t="shared" si="16"/>
        <v>120822</v>
      </c>
      <c r="F73" s="150">
        <f t="shared" si="16"/>
        <v>149500</v>
      </c>
      <c r="G73" s="150">
        <f t="shared" si="16"/>
        <v>179357</v>
      </c>
      <c r="H73" s="150">
        <f t="shared" si="16"/>
        <v>210753</v>
      </c>
      <c r="I73" s="150">
        <f t="shared" si="16"/>
        <v>242908</v>
      </c>
      <c r="J73" s="150">
        <f t="shared" si="16"/>
        <v>275281</v>
      </c>
      <c r="K73" s="150">
        <f t="shared" si="16"/>
        <v>312121</v>
      </c>
      <c r="L73" s="150">
        <f t="shared" si="16"/>
        <v>347315</v>
      </c>
      <c r="M73" s="150">
        <f t="shared" si="16"/>
        <v>384655</v>
      </c>
      <c r="N73" s="55"/>
    </row>
    <row r="74" spans="1:21" s="29" customFormat="1" ht="20.85" hidden="1" customHeight="1" x14ac:dyDescent="0.25">
      <c r="A74" s="72">
        <v>2010</v>
      </c>
      <c r="B74" s="146">
        <v>29834</v>
      </c>
      <c r="C74" s="148">
        <f t="shared" ref="C74:M74" si="17">B74+C39</f>
        <v>57936</v>
      </c>
      <c r="D74" s="148">
        <f t="shared" si="17"/>
        <v>93258</v>
      </c>
      <c r="E74" s="148">
        <f t="shared" si="17"/>
        <v>126460</v>
      </c>
      <c r="F74" s="148">
        <f t="shared" si="17"/>
        <v>156517</v>
      </c>
      <c r="G74" s="148">
        <f t="shared" si="17"/>
        <v>192457</v>
      </c>
      <c r="H74" s="148">
        <f t="shared" si="17"/>
        <v>225740</v>
      </c>
      <c r="I74" s="148">
        <f t="shared" si="17"/>
        <v>264675</v>
      </c>
      <c r="J74" s="148">
        <f t="shared" si="17"/>
        <v>305230</v>
      </c>
      <c r="K74" s="148">
        <f t="shared" si="17"/>
        <v>349568</v>
      </c>
      <c r="L74" s="148">
        <f t="shared" si="17"/>
        <v>396452</v>
      </c>
      <c r="M74" s="148">
        <f t="shared" si="17"/>
        <v>441915</v>
      </c>
      <c r="N74" s="55"/>
    </row>
    <row r="75" spans="1:21" s="29" customFormat="1" ht="20.85" hidden="1" customHeight="1" x14ac:dyDescent="0.25">
      <c r="A75" s="80">
        <v>2009</v>
      </c>
      <c r="B75" s="155">
        <f>B40</f>
        <v>34944</v>
      </c>
      <c r="C75" s="155">
        <f t="shared" ref="C75:M75" si="18">C40+B75</f>
        <v>75726</v>
      </c>
      <c r="D75" s="155">
        <f t="shared" si="18"/>
        <v>122680</v>
      </c>
      <c r="E75" s="155">
        <f t="shared" si="18"/>
        <v>170321</v>
      </c>
      <c r="F75" s="155">
        <f t="shared" si="18"/>
        <v>219694</v>
      </c>
      <c r="G75" s="155">
        <f t="shared" si="18"/>
        <v>273842</v>
      </c>
      <c r="H75" s="155">
        <f t="shared" si="18"/>
        <v>320685</v>
      </c>
      <c r="I75" s="155">
        <f t="shared" si="18"/>
        <v>356175</v>
      </c>
      <c r="J75" s="155">
        <f t="shared" si="18"/>
        <v>393194</v>
      </c>
      <c r="K75" s="155">
        <f t="shared" si="18"/>
        <v>427808</v>
      </c>
      <c r="L75" s="155">
        <f t="shared" si="18"/>
        <v>462544</v>
      </c>
      <c r="M75" s="155">
        <f t="shared" si="18"/>
        <v>501058</v>
      </c>
      <c r="N75" s="55"/>
    </row>
    <row r="76" spans="1:21" s="29" customFormat="1" ht="20.85" hidden="1" customHeight="1" x14ac:dyDescent="0.25">
      <c r="A76" s="80">
        <v>2008</v>
      </c>
      <c r="B76" s="155">
        <f>B41</f>
        <v>41505</v>
      </c>
      <c r="C76" s="148">
        <f t="shared" ref="C76:M76" si="19">C41+B76</f>
        <v>92730</v>
      </c>
      <c r="D76" s="148">
        <f t="shared" si="19"/>
        <v>146102</v>
      </c>
      <c r="E76" s="148">
        <f t="shared" si="19"/>
        <v>198625</v>
      </c>
      <c r="F76" s="148">
        <f t="shared" si="19"/>
        <v>242029</v>
      </c>
      <c r="G76" s="148">
        <f t="shared" si="19"/>
        <v>281412</v>
      </c>
      <c r="H76" s="148">
        <f t="shared" si="19"/>
        <v>318798</v>
      </c>
      <c r="I76" s="148">
        <f t="shared" si="19"/>
        <v>351420</v>
      </c>
      <c r="J76" s="148">
        <f t="shared" si="19"/>
        <v>382293</v>
      </c>
      <c r="K76" s="148">
        <f t="shared" si="19"/>
        <v>414876</v>
      </c>
      <c r="L76" s="148">
        <f t="shared" si="19"/>
        <v>438917</v>
      </c>
      <c r="M76" s="148">
        <f t="shared" si="19"/>
        <v>465969</v>
      </c>
      <c r="N76" s="55"/>
    </row>
    <row r="77" spans="1:21" s="29" customFormat="1" ht="20.85" hidden="1" customHeight="1" x14ac:dyDescent="0.25">
      <c r="A77" s="80">
        <v>2007</v>
      </c>
      <c r="B77" s="145">
        <v>60154</v>
      </c>
      <c r="C77" s="148">
        <f t="shared" ref="C77:M77" si="20">C42+B77</f>
        <v>117116</v>
      </c>
      <c r="D77" s="148">
        <f t="shared" si="20"/>
        <v>185486</v>
      </c>
      <c r="E77" s="148">
        <f t="shared" si="20"/>
        <v>248850</v>
      </c>
      <c r="F77" s="148">
        <f t="shared" si="20"/>
        <v>315529</v>
      </c>
      <c r="G77" s="148">
        <f t="shared" si="20"/>
        <v>382681</v>
      </c>
      <c r="H77" s="148">
        <f t="shared" si="20"/>
        <v>440973</v>
      </c>
      <c r="I77" s="148">
        <f t="shared" si="20"/>
        <v>502723</v>
      </c>
      <c r="J77" s="148">
        <f t="shared" si="20"/>
        <v>549222</v>
      </c>
      <c r="K77" s="148">
        <f t="shared" si="20"/>
        <v>600612</v>
      </c>
      <c r="L77" s="148">
        <f t="shared" si="20"/>
        <v>645272</v>
      </c>
      <c r="M77" s="148">
        <f t="shared" si="20"/>
        <v>690937</v>
      </c>
      <c r="N77" s="55"/>
    </row>
    <row r="78" spans="1:21" s="29" customFormat="1" ht="20.85" hidden="1" customHeight="1" x14ac:dyDescent="0.25">
      <c r="A78" s="31">
        <v>2006</v>
      </c>
      <c r="B78" s="155">
        <f>B43</f>
        <v>65820</v>
      </c>
      <c r="C78" s="148">
        <f t="shared" ref="C78:M78" si="21">C43+B78</f>
        <v>129315</v>
      </c>
      <c r="D78" s="148">
        <f t="shared" si="21"/>
        <v>210203</v>
      </c>
      <c r="E78" s="148">
        <f t="shared" si="21"/>
        <v>279600</v>
      </c>
      <c r="F78" s="148">
        <f t="shared" si="21"/>
        <v>360035</v>
      </c>
      <c r="G78" s="148">
        <f t="shared" si="21"/>
        <v>436736</v>
      </c>
      <c r="H78" s="148">
        <f t="shared" si="21"/>
        <v>504957</v>
      </c>
      <c r="I78" s="148">
        <f t="shared" si="21"/>
        <v>578129</v>
      </c>
      <c r="J78" s="148">
        <f t="shared" si="21"/>
        <v>645850</v>
      </c>
      <c r="K78" s="148">
        <f t="shared" si="21"/>
        <v>716925</v>
      </c>
      <c r="L78" s="148">
        <f t="shared" si="21"/>
        <v>783022</v>
      </c>
      <c r="M78" s="148">
        <f t="shared" si="21"/>
        <v>851148</v>
      </c>
      <c r="N78" s="55"/>
    </row>
    <row r="79" spans="1:21" s="29" customFormat="1" ht="18" hidden="1" x14ac:dyDescent="0.25">
      <c r="A79" s="31">
        <v>2005</v>
      </c>
      <c r="B79" s="155">
        <f>B44</f>
        <v>60160</v>
      </c>
      <c r="C79" s="148">
        <f t="shared" ref="C79:M79" si="22">C44+B79</f>
        <v>119280</v>
      </c>
      <c r="D79" s="148">
        <f t="shared" si="22"/>
        <v>199702</v>
      </c>
      <c r="E79" s="148">
        <f t="shared" si="22"/>
        <v>273376</v>
      </c>
      <c r="F79" s="148">
        <f t="shared" si="22"/>
        <v>347970</v>
      </c>
      <c r="G79" s="148">
        <f t="shared" si="22"/>
        <v>432017</v>
      </c>
      <c r="H79" s="148">
        <f t="shared" si="22"/>
        <v>512537</v>
      </c>
      <c r="I79" s="148">
        <f t="shared" si="22"/>
        <v>602293</v>
      </c>
      <c r="J79" s="148">
        <f t="shared" si="22"/>
        <v>686629</v>
      </c>
      <c r="K79" s="148">
        <f t="shared" si="22"/>
        <v>767312</v>
      </c>
      <c r="L79" s="148">
        <f t="shared" si="22"/>
        <v>844946</v>
      </c>
      <c r="M79" s="148">
        <f t="shared" si="22"/>
        <v>924288</v>
      </c>
      <c r="N79" s="55"/>
    </row>
    <row r="80" spans="1:21" s="29" customFormat="1" ht="18" hidden="1" x14ac:dyDescent="0.25">
      <c r="A80" s="31">
        <v>2004</v>
      </c>
      <c r="B80" s="150">
        <f>B45</f>
        <v>42988</v>
      </c>
      <c r="C80" s="150">
        <f t="shared" ref="C80:M80" si="23">B80+C45</f>
        <v>96130</v>
      </c>
      <c r="D80" s="150">
        <f t="shared" si="23"/>
        <v>165924</v>
      </c>
      <c r="E80" s="150">
        <f t="shared" si="23"/>
        <v>241250</v>
      </c>
      <c r="F80" s="150">
        <f t="shared" si="23"/>
        <v>310904</v>
      </c>
      <c r="G80" s="150">
        <f t="shared" si="23"/>
        <v>382831</v>
      </c>
      <c r="H80" s="150">
        <f t="shared" si="23"/>
        <v>446978</v>
      </c>
      <c r="I80" s="150">
        <f t="shared" si="23"/>
        <v>512797</v>
      </c>
      <c r="J80" s="150">
        <f t="shared" si="23"/>
        <v>576249</v>
      </c>
      <c r="K80" s="150">
        <f t="shared" si="23"/>
        <v>641285</v>
      </c>
      <c r="L80" s="150">
        <f t="shared" si="23"/>
        <v>707591</v>
      </c>
      <c r="M80" s="150">
        <f t="shared" si="23"/>
        <v>776140</v>
      </c>
      <c r="N80" s="55"/>
    </row>
    <row r="81" spans="1:14" s="29" customFormat="1" ht="18" hidden="1" x14ac:dyDescent="0.25">
      <c r="A81" s="31">
        <v>2003</v>
      </c>
      <c r="B81" s="147">
        <f>B46</f>
        <v>73684</v>
      </c>
      <c r="C81" s="148">
        <f t="shared" ref="C81:M81" si="24">B81+C46</f>
        <v>144133</v>
      </c>
      <c r="D81" s="148">
        <f t="shared" si="24"/>
        <v>228735</v>
      </c>
      <c r="E81" s="148">
        <f t="shared" si="24"/>
        <v>321217</v>
      </c>
      <c r="F81" s="148">
        <f t="shared" si="24"/>
        <v>408398</v>
      </c>
      <c r="G81" s="148">
        <f t="shared" si="24"/>
        <v>505826</v>
      </c>
      <c r="H81" s="148">
        <f t="shared" si="24"/>
        <v>618914</v>
      </c>
      <c r="I81" s="148">
        <f t="shared" si="24"/>
        <v>724246</v>
      </c>
      <c r="J81" s="148">
        <f t="shared" si="24"/>
        <v>812861</v>
      </c>
      <c r="K81" s="148">
        <f t="shared" si="24"/>
        <v>890796</v>
      </c>
      <c r="L81" s="148">
        <f t="shared" si="24"/>
        <v>945293</v>
      </c>
      <c r="M81" s="148">
        <f t="shared" si="24"/>
        <v>1007562</v>
      </c>
      <c r="N81" s="45"/>
    </row>
    <row r="82" spans="1:14" s="29" customFormat="1" ht="18" hidden="1" x14ac:dyDescent="0.25">
      <c r="A82" s="31">
        <v>2002</v>
      </c>
      <c r="B82" s="33">
        <v>49213</v>
      </c>
      <c r="C82" s="46">
        <f t="shared" ref="C82:M82" si="25">+B82+C47</f>
        <v>96604</v>
      </c>
      <c r="D82" s="46">
        <f t="shared" si="25"/>
        <v>148703</v>
      </c>
      <c r="E82" s="46">
        <f t="shared" si="25"/>
        <v>199064</v>
      </c>
      <c r="F82" s="46">
        <f t="shared" si="25"/>
        <v>248275</v>
      </c>
      <c r="G82" s="46">
        <f t="shared" si="25"/>
        <v>294809</v>
      </c>
      <c r="H82" s="46">
        <f t="shared" si="25"/>
        <v>347112</v>
      </c>
      <c r="I82" s="46">
        <f t="shared" si="25"/>
        <v>406237</v>
      </c>
      <c r="J82" s="46">
        <f t="shared" si="25"/>
        <v>466528</v>
      </c>
      <c r="K82" s="46">
        <f t="shared" si="25"/>
        <v>545756</v>
      </c>
      <c r="L82" s="46">
        <f t="shared" si="25"/>
        <v>618335</v>
      </c>
      <c r="M82" s="46">
        <f t="shared" si="25"/>
        <v>700691</v>
      </c>
      <c r="N82" s="39"/>
    </row>
    <row r="83" spans="1:14" s="29" customFormat="1" ht="18" hidden="1" x14ac:dyDescent="0.25">
      <c r="A83" s="31">
        <v>2001</v>
      </c>
      <c r="B83" s="44">
        <v>28308</v>
      </c>
      <c r="C83" s="46">
        <f t="shared" ref="C83:M83" si="26">+B83+C48</f>
        <v>61306</v>
      </c>
      <c r="D83" s="46">
        <f t="shared" si="26"/>
        <v>104797</v>
      </c>
      <c r="E83" s="46">
        <f t="shared" si="26"/>
        <v>150178</v>
      </c>
      <c r="F83" s="46">
        <f t="shared" si="26"/>
        <v>200173</v>
      </c>
      <c r="G83" s="46">
        <f t="shared" si="26"/>
        <v>250249</v>
      </c>
      <c r="H83" s="46">
        <f t="shared" si="26"/>
        <v>295092</v>
      </c>
      <c r="I83" s="46">
        <f t="shared" si="26"/>
        <v>343921</v>
      </c>
      <c r="J83" s="46">
        <f t="shared" si="26"/>
        <v>384724</v>
      </c>
      <c r="K83" s="46">
        <f t="shared" si="26"/>
        <v>438755</v>
      </c>
      <c r="L83" s="46">
        <f t="shared" si="26"/>
        <v>495596</v>
      </c>
      <c r="M83" s="46">
        <f t="shared" si="26"/>
        <v>553863</v>
      </c>
      <c r="N83" s="39"/>
    </row>
    <row r="84" spans="1:14" s="29" customFormat="1" ht="18" hidden="1" x14ac:dyDescent="0.25">
      <c r="A84" s="31">
        <v>2000</v>
      </c>
      <c r="B84" s="44">
        <v>22991</v>
      </c>
      <c r="C84" s="46">
        <f t="shared" ref="C84:M84" si="27">+B84+C49</f>
        <v>46228</v>
      </c>
      <c r="D84" s="46">
        <f t="shared" si="27"/>
        <v>75459</v>
      </c>
      <c r="E84" s="46">
        <f t="shared" si="27"/>
        <v>100792</v>
      </c>
      <c r="F84" s="46">
        <f t="shared" si="27"/>
        <v>128446</v>
      </c>
      <c r="G84" s="46">
        <f t="shared" si="27"/>
        <v>158177</v>
      </c>
      <c r="H84" s="46">
        <f t="shared" si="27"/>
        <v>183525</v>
      </c>
      <c r="I84" s="46">
        <f t="shared" si="27"/>
        <v>212790</v>
      </c>
      <c r="J84" s="46">
        <f t="shared" si="27"/>
        <v>239143</v>
      </c>
      <c r="K84" s="46">
        <f t="shared" si="27"/>
        <v>266913</v>
      </c>
      <c r="L84" s="46">
        <f t="shared" si="27"/>
        <v>293058</v>
      </c>
      <c r="M84" s="46">
        <f t="shared" si="27"/>
        <v>319683</v>
      </c>
      <c r="N84" s="39"/>
    </row>
    <row r="85" spans="1:14" s="29" customFormat="1" ht="18" hidden="1" x14ac:dyDescent="0.25">
      <c r="A85" s="47">
        <v>1999</v>
      </c>
      <c r="B85" s="44">
        <v>34242</v>
      </c>
      <c r="C85" s="46">
        <f t="shared" ref="C85:M85" si="28">+B85+C50</f>
        <v>71672</v>
      </c>
      <c r="D85" s="46">
        <f t="shared" si="28"/>
        <v>113419</v>
      </c>
      <c r="E85" s="46">
        <f t="shared" si="28"/>
        <v>152610</v>
      </c>
      <c r="F85" s="46">
        <f t="shared" si="28"/>
        <v>188964</v>
      </c>
      <c r="G85" s="46">
        <f t="shared" si="28"/>
        <v>226221</v>
      </c>
      <c r="H85" s="46">
        <f t="shared" si="28"/>
        <v>261227</v>
      </c>
      <c r="I85" s="46">
        <f t="shared" si="28"/>
        <v>295210</v>
      </c>
      <c r="J85" s="46">
        <f t="shared" si="28"/>
        <v>324463</v>
      </c>
      <c r="K85" s="46">
        <f t="shared" si="28"/>
        <v>353577</v>
      </c>
      <c r="L85" s="46">
        <f t="shared" si="28"/>
        <v>383438</v>
      </c>
      <c r="M85" s="46">
        <f t="shared" si="28"/>
        <v>412696</v>
      </c>
      <c r="N85" s="39"/>
    </row>
    <row r="86" spans="1:14" s="29" customFormat="1" ht="25.5" customHeight="1" x14ac:dyDescent="0.25">
      <c r="K86" s="48"/>
      <c r="L86" s="48"/>
      <c r="N86" s="58"/>
    </row>
    <row r="87" spans="1:14" s="29" customFormat="1" ht="25.5" customHeight="1" x14ac:dyDescent="0.25">
      <c r="A87" s="27" t="s">
        <v>155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N87" s="58"/>
    </row>
    <row r="88" spans="1:14" s="39" customFormat="1" ht="20.100000000000001" customHeight="1" x14ac:dyDescent="0.25">
      <c r="A88" s="30">
        <v>2020</v>
      </c>
      <c r="B88" s="75">
        <f t="shared" ref="B88:M95" si="29">+B64/B65-1</f>
        <v>0.59265274122192979</v>
      </c>
      <c r="C88" s="75">
        <f t="shared" ref="C88:M92" si="30">+C64/C65-1</f>
        <v>0.56446647041348208</v>
      </c>
      <c r="D88" s="75">
        <f t="shared" si="30"/>
        <v>0.60302609021979237</v>
      </c>
      <c r="E88" s="75">
        <f t="shared" si="30"/>
        <v>0.56973302639839751</v>
      </c>
      <c r="F88" s="75">
        <f t="shared" si="30"/>
        <v>0.51833607251134106</v>
      </c>
      <c r="G88" s="75">
        <f t="shared" si="30"/>
        <v>0.520342535823896</v>
      </c>
      <c r="H88" s="75">
        <f t="shared" si="30"/>
        <v>0.50451325361797328</v>
      </c>
      <c r="I88" s="75">
        <f t="shared" si="30"/>
        <v>0.46225425855850877</v>
      </c>
      <c r="J88" s="75"/>
      <c r="K88" s="75"/>
      <c r="L88" s="75"/>
      <c r="M88" s="75"/>
      <c r="N88" s="58"/>
    </row>
    <row r="89" spans="1:14" s="29" customFormat="1" ht="20.100000000000001" customHeight="1" x14ac:dyDescent="0.25">
      <c r="A89" s="31">
        <v>2019</v>
      </c>
      <c r="B89" s="57">
        <f t="shared" si="29"/>
        <v>-0.24704840613931522</v>
      </c>
      <c r="C89" s="57">
        <f t="shared" si="30"/>
        <v>-0.16458152363976852</v>
      </c>
      <c r="D89" s="57">
        <f t="shared" si="30"/>
        <v>-0.15431221644390913</v>
      </c>
      <c r="E89" s="57">
        <f t="shared" si="30"/>
        <v>-9.1163508512615454E-2</v>
      </c>
      <c r="F89" s="57">
        <f t="shared" si="30"/>
        <v>-4.7106365909653447E-2</v>
      </c>
      <c r="G89" s="57">
        <f t="shared" si="30"/>
        <v>-1.3734102414845406E-2</v>
      </c>
      <c r="H89" s="57">
        <f t="shared" si="30"/>
        <v>4.081043274220475E-2</v>
      </c>
      <c r="I89" s="57">
        <f t="shared" si="30"/>
        <v>8.0503190311616013E-2</v>
      </c>
      <c r="J89" s="57">
        <f t="shared" si="30"/>
        <v>0.13448337792166298</v>
      </c>
      <c r="K89" s="57">
        <f t="shared" si="30"/>
        <v>0.1782414520290776</v>
      </c>
      <c r="L89" s="57">
        <f t="shared" si="30"/>
        <v>0.20370602663537785</v>
      </c>
      <c r="M89" s="57">
        <f t="shared" si="30"/>
        <v>0.24351587337124436</v>
      </c>
      <c r="N89" s="59"/>
    </row>
    <row r="90" spans="1:14" s="29" customFormat="1" ht="18" customHeight="1" x14ac:dyDescent="0.25">
      <c r="A90" s="31">
        <v>2018</v>
      </c>
      <c r="B90" s="57">
        <f t="shared" si="29"/>
        <v>-5.0315346881569689E-2</v>
      </c>
      <c r="C90" s="57">
        <f t="shared" si="30"/>
        <v>-6.6139210501364287E-2</v>
      </c>
      <c r="D90" s="57">
        <f t="shared" si="30"/>
        <v>-5.7543540032357621E-2</v>
      </c>
      <c r="E90" s="57">
        <f t="shared" si="30"/>
        <v>-5.247846436644299E-2</v>
      </c>
      <c r="F90" s="57">
        <f t="shared" si="30"/>
        <v>-7.1081443192719029E-2</v>
      </c>
      <c r="G90" s="57">
        <f t="shared" si="30"/>
        <v>-9.8485788163004351E-2</v>
      </c>
      <c r="H90" s="57">
        <f t="shared" si="30"/>
        <v>-9.5412774132802913E-2</v>
      </c>
      <c r="I90" s="57">
        <f t="shared" si="30"/>
        <v>-0.10017124086637619</v>
      </c>
      <c r="J90" s="57">
        <f t="shared" si="30"/>
        <v>-0.10815612057470814</v>
      </c>
      <c r="K90" s="57">
        <f t="shared" si="30"/>
        <v>-0.11576318468326796</v>
      </c>
      <c r="L90" s="57">
        <f t="shared" si="30"/>
        <v>-0.1240087297709872</v>
      </c>
      <c r="M90" s="57">
        <f t="shared" si="30"/>
        <v>-0.12708934934092964</v>
      </c>
      <c r="N90" s="59"/>
    </row>
    <row r="91" spans="1:14" s="29" customFormat="1" ht="18" customHeight="1" x14ac:dyDescent="0.25">
      <c r="A91" s="31">
        <v>2017</v>
      </c>
      <c r="B91" s="57">
        <f t="shared" si="29"/>
        <v>0.20355197840859796</v>
      </c>
      <c r="C91" s="57">
        <f t="shared" si="30"/>
        <v>0.12557659698094414</v>
      </c>
      <c r="D91" s="57">
        <f t="shared" si="30"/>
        <v>4.0471340462852945E-2</v>
      </c>
      <c r="E91" s="57">
        <f t="shared" si="30"/>
        <v>-1.1058078054601017E-3</v>
      </c>
      <c r="F91" s="57">
        <f t="shared" si="30"/>
        <v>-1.1047186135187959E-3</v>
      </c>
      <c r="G91" s="57">
        <f t="shared" si="30"/>
        <v>-1.7807343621312199E-4</v>
      </c>
      <c r="H91" s="57">
        <f t="shared" si="30"/>
        <v>-1.0749185667752403E-2</v>
      </c>
      <c r="I91" s="57">
        <f t="shared" si="30"/>
        <v>-2.3488082816565115E-2</v>
      </c>
      <c r="J91" s="57">
        <f t="shared" si="30"/>
        <v>-4.0186958804773409E-2</v>
      </c>
      <c r="K91" s="57">
        <f t="shared" si="30"/>
        <v>-4.3636816673044199E-2</v>
      </c>
      <c r="L91" s="57">
        <f t="shared" si="30"/>
        <v>-5.1809617847565437E-2</v>
      </c>
      <c r="M91" s="57">
        <f t="shared" si="30"/>
        <v>-6.924631729673647E-2</v>
      </c>
      <c r="N91" s="59"/>
    </row>
    <row r="92" spans="1:14" s="39" customFormat="1" ht="18" x14ac:dyDescent="0.25">
      <c r="A92" s="31">
        <v>2016</v>
      </c>
      <c r="B92" s="57">
        <f t="shared" si="29"/>
        <v>5.1913814955639959E-2</v>
      </c>
      <c r="C92" s="57">
        <f t="shared" si="30"/>
        <v>6.0843941255770417E-3</v>
      </c>
      <c r="D92" s="57">
        <f t="shared" si="30"/>
        <v>4.3285762776900549E-2</v>
      </c>
      <c r="E92" s="57">
        <f t="shared" si="30"/>
        <v>4.1359142180754871E-2</v>
      </c>
      <c r="F92" s="57">
        <f t="shared" si="30"/>
        <v>6.6736218759635646E-2</v>
      </c>
      <c r="G92" s="57">
        <f t="shared" si="30"/>
        <v>7.6437808493013737E-2</v>
      </c>
      <c r="H92" s="57">
        <f t="shared" si="30"/>
        <v>6.8781576918207854E-2</v>
      </c>
      <c r="I92" s="57">
        <f t="shared" si="30"/>
        <v>9.3052906284706749E-2</v>
      </c>
      <c r="J92" s="57">
        <f t="shared" si="30"/>
        <v>0.11042899900232794</v>
      </c>
      <c r="K92" s="57">
        <f t="shared" si="30"/>
        <v>0.11741437395838727</v>
      </c>
      <c r="L92" s="57">
        <f t="shared" si="30"/>
        <v>0.14198137643076936</v>
      </c>
      <c r="M92" s="57">
        <f t="shared" si="30"/>
        <v>0.15141497578875063</v>
      </c>
      <c r="N92" s="58"/>
    </row>
    <row r="93" spans="1:14" s="29" customFormat="1" ht="18" hidden="1" x14ac:dyDescent="0.25">
      <c r="A93" s="31">
        <v>2015</v>
      </c>
      <c r="B93" s="57">
        <f t="shared" si="29"/>
        <v>0.45975948196114702</v>
      </c>
      <c r="C93" s="57">
        <f t="shared" ref="C93:M93" si="31">+C69/C70-1</f>
        <v>0.58721832986176858</v>
      </c>
      <c r="D93" s="57">
        <f t="shared" si="31"/>
        <v>0.64779553026434189</v>
      </c>
      <c r="E93" s="57">
        <f t="shared" si="31"/>
        <v>0.62447686913245115</v>
      </c>
      <c r="F93" s="57">
        <f t="shared" si="31"/>
        <v>0.59184153729265976</v>
      </c>
      <c r="G93" s="57">
        <f t="shared" si="31"/>
        <v>0.57123495433863636</v>
      </c>
      <c r="H93" s="57">
        <f t="shared" si="31"/>
        <v>0.53345628138043</v>
      </c>
      <c r="I93" s="57">
        <f t="shared" si="31"/>
        <v>0.51704884590684141</v>
      </c>
      <c r="J93" s="57">
        <f t="shared" si="31"/>
        <v>0.48294148784024138</v>
      </c>
      <c r="K93" s="57">
        <f t="shared" si="31"/>
        <v>0.44277130904353923</v>
      </c>
      <c r="L93" s="57">
        <f t="shared" si="31"/>
        <v>0.41582372470202222</v>
      </c>
      <c r="M93" s="57">
        <f t="shared" si="31"/>
        <v>0.38638401464364192</v>
      </c>
      <c r="N93" s="59"/>
    </row>
    <row r="94" spans="1:14" s="29" customFormat="1" ht="18" hidden="1" x14ac:dyDescent="0.25">
      <c r="A94" s="31">
        <v>2014</v>
      </c>
      <c r="B94" s="57">
        <f t="shared" si="29"/>
        <v>-0.40017756075907229</v>
      </c>
      <c r="C94" s="57">
        <f t="shared" si="29"/>
        <v>-0.38694249030670291</v>
      </c>
      <c r="D94" s="57">
        <f t="shared" si="29"/>
        <v>-0.38895782098623255</v>
      </c>
      <c r="E94" s="57">
        <f t="shared" si="29"/>
        <v>-0.37446322148746836</v>
      </c>
      <c r="F94" s="57">
        <f t="shared" si="29"/>
        <v>-0.35984281114956185</v>
      </c>
      <c r="G94" s="57">
        <f t="shared" si="29"/>
        <v>-0.34222237945307243</v>
      </c>
      <c r="H94" s="57">
        <f t="shared" si="29"/>
        <v>-0.32104963604229697</v>
      </c>
      <c r="I94" s="57">
        <f t="shared" si="29"/>
        <v>-0.30045480611940178</v>
      </c>
      <c r="J94" s="57">
        <f t="shared" si="29"/>
        <v>-0.26911209900276345</v>
      </c>
      <c r="K94" s="57">
        <f t="shared" si="29"/>
        <v>-0.22933836325562162</v>
      </c>
      <c r="L94" s="57">
        <f t="shared" si="29"/>
        <v>-0.20101423406484642</v>
      </c>
      <c r="M94" s="57">
        <f t="shared" si="29"/>
        <v>-0.16517540287393095</v>
      </c>
      <c r="N94" s="59"/>
    </row>
    <row r="95" spans="1:14" s="29" customFormat="1" ht="18" hidden="1" x14ac:dyDescent="0.25">
      <c r="A95" s="31">
        <v>2013</v>
      </c>
      <c r="B95" s="57">
        <f t="shared" si="29"/>
        <v>0.44815505271277956</v>
      </c>
      <c r="C95" s="57">
        <f t="shared" si="29"/>
        <v>0.30304955527318933</v>
      </c>
      <c r="D95" s="57">
        <f t="shared" si="29"/>
        <v>0.26396206038409176</v>
      </c>
      <c r="E95" s="57">
        <f t="shared" ref="E95:M95" si="32">+E71/E72-1</f>
        <v>0.28447389945680679</v>
      </c>
      <c r="F95" s="57">
        <f t="shared" si="32"/>
        <v>0.26996239286338986</v>
      </c>
      <c r="G95" s="57">
        <f t="shared" si="32"/>
        <v>0.2588960443221191</v>
      </c>
      <c r="H95" s="57">
        <f t="shared" si="32"/>
        <v>0.24606208101288507</v>
      </c>
      <c r="I95" s="57">
        <f t="shared" si="32"/>
        <v>0.19792517459051173</v>
      </c>
      <c r="J95" s="57">
        <f t="shared" si="32"/>
        <v>0.17253426876857847</v>
      </c>
      <c r="K95" s="57">
        <f t="shared" si="32"/>
        <v>0.11166092678765893</v>
      </c>
      <c r="L95" s="57">
        <f t="shared" si="32"/>
        <v>6.7808490267744714E-2</v>
      </c>
      <c r="M95" s="57">
        <f t="shared" si="32"/>
        <v>2.1298592241085545E-2</v>
      </c>
      <c r="N95" s="59"/>
    </row>
    <row r="96" spans="1:14" s="29" customFormat="1" ht="18" hidden="1" x14ac:dyDescent="0.25">
      <c r="A96" s="31">
        <v>2012</v>
      </c>
      <c r="B96" s="57">
        <f t="shared" ref="B96:M96" si="33">+B72/B73-1</f>
        <v>-0.11283469731101547</v>
      </c>
      <c r="C96" s="57">
        <f t="shared" si="33"/>
        <v>4.8867170146601469E-2</v>
      </c>
      <c r="D96" s="57">
        <f t="shared" si="33"/>
        <v>0.13225302242495784</v>
      </c>
      <c r="E96" s="57">
        <f t="shared" si="33"/>
        <v>0.18391518101008097</v>
      </c>
      <c r="F96" s="57">
        <f t="shared" si="33"/>
        <v>0.22370568561872917</v>
      </c>
      <c r="G96" s="57">
        <f t="shared" si="33"/>
        <v>0.25190541768651342</v>
      </c>
      <c r="H96" s="57">
        <f t="shared" si="33"/>
        <v>0.27119424160035677</v>
      </c>
      <c r="I96" s="57">
        <f t="shared" si="33"/>
        <v>0.30041826535149108</v>
      </c>
      <c r="J96" s="57">
        <f t="shared" si="33"/>
        <v>0.28928258761047809</v>
      </c>
      <c r="K96" s="57">
        <f t="shared" si="33"/>
        <v>0.3033503032477789</v>
      </c>
      <c r="L96" s="57">
        <f t="shared" si="33"/>
        <v>0.30215798338683908</v>
      </c>
      <c r="M96" s="57">
        <f t="shared" si="33"/>
        <v>0.31264639742106559</v>
      </c>
      <c r="N96" s="59"/>
    </row>
    <row r="97" spans="1:14" s="29" customFormat="1" ht="21" hidden="1" customHeight="1" x14ac:dyDescent="0.25">
      <c r="A97" s="80">
        <v>2011</v>
      </c>
      <c r="B97" s="57">
        <f t="shared" ref="B97:M97" si="34">+B73/B74-1</f>
        <v>0.17547093919688939</v>
      </c>
      <c r="C97" s="57">
        <f t="shared" si="34"/>
        <v>8.7890085611709523E-2</v>
      </c>
      <c r="D97" s="57">
        <f t="shared" si="34"/>
        <v>8.4604001801453776E-3</v>
      </c>
      <c r="E97" s="57">
        <f t="shared" si="34"/>
        <v>-4.4583267436343554E-2</v>
      </c>
      <c r="F97" s="57">
        <f t="shared" si="34"/>
        <v>-4.4832190752442269E-2</v>
      </c>
      <c r="G97" s="57">
        <f t="shared" si="34"/>
        <v>-6.8067152662672714E-2</v>
      </c>
      <c r="H97" s="57">
        <f t="shared" si="34"/>
        <v>-6.6390537786834458E-2</v>
      </c>
      <c r="I97" s="57">
        <f t="shared" si="34"/>
        <v>-8.2240483611977E-2</v>
      </c>
      <c r="J97" s="57">
        <f t="shared" si="34"/>
        <v>-9.8119450905874261E-2</v>
      </c>
      <c r="K97" s="57">
        <f t="shared" si="34"/>
        <v>-0.10712364976199196</v>
      </c>
      <c r="L97" s="57">
        <f t="shared" si="34"/>
        <v>-0.12394186433666621</v>
      </c>
      <c r="M97" s="57">
        <f t="shared" si="34"/>
        <v>-0.12957242908704159</v>
      </c>
      <c r="N97" s="59"/>
    </row>
    <row r="98" spans="1:14" s="29" customFormat="1" ht="20.85" hidden="1" customHeight="1" x14ac:dyDescent="0.25">
      <c r="A98" s="72">
        <v>2010</v>
      </c>
      <c r="B98" s="57">
        <f t="shared" ref="B98:M98" si="35">+B74/B75-1</f>
        <v>-0.14623397435897434</v>
      </c>
      <c r="C98" s="57">
        <f>+C74/C75-1</f>
        <v>-0.23492591712225652</v>
      </c>
      <c r="D98" s="57">
        <f t="shared" si="35"/>
        <v>-0.23982719269644603</v>
      </c>
      <c r="E98" s="57">
        <f t="shared" si="35"/>
        <v>-0.25751962470863843</v>
      </c>
      <c r="F98" s="57">
        <f t="shared" si="35"/>
        <v>-0.28756816299034116</v>
      </c>
      <c r="G98" s="57">
        <f t="shared" si="35"/>
        <v>-0.29719692377356288</v>
      </c>
      <c r="H98" s="57">
        <f t="shared" si="35"/>
        <v>-0.29606935154435032</v>
      </c>
      <c r="I98" s="57">
        <f t="shared" si="35"/>
        <v>-0.25689618867129926</v>
      </c>
      <c r="J98" s="57">
        <f t="shared" si="35"/>
        <v>-0.22371653687492687</v>
      </c>
      <c r="K98" s="57">
        <f t="shared" si="35"/>
        <v>-0.18288578053706339</v>
      </c>
      <c r="L98" s="57">
        <f t="shared" si="35"/>
        <v>-0.1428880279497734</v>
      </c>
      <c r="M98" s="57">
        <f t="shared" si="35"/>
        <v>-0.11803623532605012</v>
      </c>
      <c r="N98" s="59"/>
    </row>
    <row r="99" spans="1:14" s="29" customFormat="1" ht="20.85" hidden="1" customHeight="1" x14ac:dyDescent="0.25">
      <c r="A99" s="80">
        <v>2009</v>
      </c>
      <c r="B99" s="57">
        <f>+B75/B76-1</f>
        <v>-0.15807734007950847</v>
      </c>
      <c r="C99" s="57">
        <f t="shared" ref="B99:M108" si="36">+C75/C76-1</f>
        <v>-0.18337107732125524</v>
      </c>
      <c r="D99" s="57">
        <f t="shared" si="36"/>
        <v>-0.16031265827983188</v>
      </c>
      <c r="E99" s="57">
        <f t="shared" si="36"/>
        <v>-0.14249968533668977</v>
      </c>
      <c r="F99" s="57">
        <f t="shared" si="36"/>
        <v>-9.22823298034533E-2</v>
      </c>
      <c r="G99" s="57">
        <f t="shared" si="36"/>
        <v>-2.690006112035026E-2</v>
      </c>
      <c r="H99" s="57">
        <f t="shared" si="36"/>
        <v>5.9191086518735059E-3</v>
      </c>
      <c r="I99" s="57">
        <f t="shared" si="36"/>
        <v>1.3530817824825014E-2</v>
      </c>
      <c r="J99" s="57">
        <f t="shared" si="36"/>
        <v>2.8514777932109769E-2</v>
      </c>
      <c r="K99" s="57">
        <f t="shared" si="36"/>
        <v>3.1170759455837471E-2</v>
      </c>
      <c r="L99" s="57">
        <f t="shared" si="36"/>
        <v>5.3830223026221313E-2</v>
      </c>
      <c r="M99" s="57">
        <f t="shared" si="36"/>
        <v>7.5303292708313263E-2</v>
      </c>
      <c r="N99" s="59"/>
    </row>
    <row r="100" spans="1:14" s="29" customFormat="1" ht="20.85" hidden="1" customHeight="1" x14ac:dyDescent="0.25">
      <c r="A100" s="80">
        <v>2008</v>
      </c>
      <c r="B100" s="57">
        <f t="shared" si="36"/>
        <v>-0.31002094623798915</v>
      </c>
      <c r="C100" s="57">
        <f t="shared" si="36"/>
        <v>-0.20822090918405678</v>
      </c>
      <c r="D100" s="57">
        <f t="shared" si="36"/>
        <v>-0.21232869327065118</v>
      </c>
      <c r="E100" s="57">
        <f t="shared" si="36"/>
        <v>-0.20182841068917023</v>
      </c>
      <c r="F100" s="57">
        <f t="shared" si="36"/>
        <v>-0.23294213844052369</v>
      </c>
      <c r="G100" s="57">
        <f t="shared" si="36"/>
        <v>-0.26463033179070816</v>
      </c>
      <c r="H100" s="57">
        <f t="shared" si="36"/>
        <v>-0.27705777904769679</v>
      </c>
      <c r="I100" s="57">
        <f t="shared" si="36"/>
        <v>-0.30096693407701658</v>
      </c>
      <c r="J100" s="57">
        <f t="shared" si="36"/>
        <v>-0.30393720572009131</v>
      </c>
      <c r="K100" s="57">
        <f t="shared" si="36"/>
        <v>-0.30924457053805121</v>
      </c>
      <c r="L100" s="57">
        <f t="shared" si="36"/>
        <v>-0.31979537311397366</v>
      </c>
      <c r="M100" s="57">
        <f t="shared" si="36"/>
        <v>-0.32559842648461435</v>
      </c>
      <c r="N100" s="59"/>
    </row>
    <row r="101" spans="1:14" s="29" customFormat="1" ht="20.85" hidden="1" customHeight="1" x14ac:dyDescent="0.25">
      <c r="A101" s="80">
        <v>2007</v>
      </c>
      <c r="B101" s="57">
        <f t="shared" si="36"/>
        <v>-8.6083257368581023E-2</v>
      </c>
      <c r="C101" s="57">
        <f t="shared" si="36"/>
        <v>-9.4335537253992241E-2</v>
      </c>
      <c r="D101" s="57">
        <f t="shared" si="36"/>
        <v>-0.11758633321122913</v>
      </c>
      <c r="E101" s="57">
        <f t="shared" si="36"/>
        <v>-0.10997854077253222</v>
      </c>
      <c r="F101" s="57">
        <f t="shared" si="36"/>
        <v>-0.12361575957892978</v>
      </c>
      <c r="G101" s="57">
        <f t="shared" si="36"/>
        <v>-0.12377042423798357</v>
      </c>
      <c r="H101" s="57">
        <f t="shared" si="36"/>
        <v>-0.1267117794188416</v>
      </c>
      <c r="I101" s="57">
        <f t="shared" si="36"/>
        <v>-0.13043109755781146</v>
      </c>
      <c r="J101" s="57">
        <f t="shared" si="36"/>
        <v>-0.1496136873887125</v>
      </c>
      <c r="K101" s="57">
        <f t="shared" si="36"/>
        <v>-0.16223872790040794</v>
      </c>
      <c r="L101" s="57">
        <f t="shared" si="36"/>
        <v>-0.1759209830630557</v>
      </c>
      <c r="M101" s="57">
        <f t="shared" si="36"/>
        <v>-0.18822930912132785</v>
      </c>
      <c r="N101" s="59"/>
    </row>
    <row r="102" spans="1:14" s="29" customFormat="1" ht="20.25" hidden="1" customHeight="1" x14ac:dyDescent="0.25">
      <c r="A102" s="31">
        <v>2006</v>
      </c>
      <c r="B102" s="57">
        <f t="shared" si="36"/>
        <v>9.4082446808510634E-2</v>
      </c>
      <c r="C102" s="57">
        <f t="shared" si="36"/>
        <v>8.4129778672032085E-2</v>
      </c>
      <c r="D102" s="57">
        <f t="shared" si="36"/>
        <v>5.2583349190293616E-2</v>
      </c>
      <c r="E102" s="57">
        <f t="shared" si="36"/>
        <v>2.2767177806391148E-2</v>
      </c>
      <c r="F102" s="57">
        <f t="shared" si="36"/>
        <v>3.4672529241026595E-2</v>
      </c>
      <c r="G102" s="57">
        <f t="shared" si="36"/>
        <v>1.0923181263700288E-2</v>
      </c>
      <c r="H102" s="57">
        <f t="shared" si="36"/>
        <v>-1.4789176196060017E-2</v>
      </c>
      <c r="I102" s="57">
        <f t="shared" si="36"/>
        <v>-4.0120008035955945E-2</v>
      </c>
      <c r="J102" s="57">
        <f t="shared" si="36"/>
        <v>-5.9390151013138048E-2</v>
      </c>
      <c r="K102" s="57">
        <f t="shared" si="36"/>
        <v>-6.5666899514148058E-2</v>
      </c>
      <c r="L102" s="57">
        <f t="shared" si="36"/>
        <v>-7.3287523699739343E-2</v>
      </c>
      <c r="M102" s="57">
        <f t="shared" si="36"/>
        <v>-7.9131179891981707E-2</v>
      </c>
      <c r="N102" s="58"/>
    </row>
    <row r="103" spans="1:14" s="29" customFormat="1" ht="20.25" hidden="1" customHeight="1" x14ac:dyDescent="0.25">
      <c r="A103" s="31">
        <v>2005</v>
      </c>
      <c r="B103" s="57">
        <f t="shared" si="36"/>
        <v>0.39946031450637398</v>
      </c>
      <c r="C103" s="57">
        <f t="shared" si="36"/>
        <v>0.24081972329137624</v>
      </c>
      <c r="D103" s="57">
        <f t="shared" si="36"/>
        <v>0.20357513078276801</v>
      </c>
      <c r="E103" s="57">
        <f t="shared" si="36"/>
        <v>0.13316476683937828</v>
      </c>
      <c r="F103" s="57">
        <f t="shared" si="36"/>
        <v>0.11922008079664459</v>
      </c>
      <c r="G103" s="57">
        <f t="shared" si="36"/>
        <v>0.12847966857438409</v>
      </c>
      <c r="H103" s="57">
        <f t="shared" si="36"/>
        <v>0.14667164826904222</v>
      </c>
      <c r="I103" s="57">
        <f t="shared" si="36"/>
        <v>0.1745252019805108</v>
      </c>
      <c r="J103" s="57">
        <f t="shared" si="36"/>
        <v>0.19154913934774731</v>
      </c>
      <c r="K103" s="57">
        <f t="shared" si="36"/>
        <v>0.19652260695322665</v>
      </c>
      <c r="L103" s="57">
        <f t="shared" si="36"/>
        <v>0.19411637513761471</v>
      </c>
      <c r="M103" s="57">
        <f t="shared" si="36"/>
        <v>0.1908779343932796</v>
      </c>
      <c r="N103" s="59"/>
    </row>
    <row r="104" spans="1:14" s="29" customFormat="1" ht="18" hidden="1" customHeight="1" x14ac:dyDescent="0.25">
      <c r="A104" s="31">
        <v>2004</v>
      </c>
      <c r="B104" s="57">
        <f t="shared" si="36"/>
        <v>-0.41658976168503337</v>
      </c>
      <c r="C104" s="57">
        <f t="shared" si="36"/>
        <v>-0.33304656116225984</v>
      </c>
      <c r="D104" s="57">
        <f t="shared" si="36"/>
        <v>-0.274601613220539</v>
      </c>
      <c r="E104" s="57">
        <f t="shared" si="36"/>
        <v>-0.24895008670151331</v>
      </c>
      <c r="F104" s="57">
        <f t="shared" si="36"/>
        <v>-0.23872301039672084</v>
      </c>
      <c r="G104" s="57">
        <f t="shared" si="36"/>
        <v>-0.24315673769240809</v>
      </c>
      <c r="H104" s="57">
        <f t="shared" si="36"/>
        <v>-0.27780273188197391</v>
      </c>
      <c r="I104" s="57">
        <f t="shared" si="36"/>
        <v>-0.29195742882943088</v>
      </c>
      <c r="J104" s="57">
        <f t="shared" si="36"/>
        <v>-0.29108543773166629</v>
      </c>
      <c r="K104" s="57">
        <f t="shared" si="36"/>
        <v>-0.28009892276121584</v>
      </c>
      <c r="L104" s="57">
        <f t="shared" si="36"/>
        <v>-0.25145854248365318</v>
      </c>
      <c r="M104" s="57">
        <f t="shared" si="36"/>
        <v>-0.22968512111413486</v>
      </c>
      <c r="N104" s="59"/>
    </row>
    <row r="105" spans="1:14" s="29" customFormat="1" ht="18" hidden="1" customHeight="1" x14ac:dyDescent="0.25">
      <c r="A105" s="31">
        <v>2003</v>
      </c>
      <c r="B105" s="57">
        <f t="shared" si="36"/>
        <v>0.49724666246723426</v>
      </c>
      <c r="C105" s="57">
        <f t="shared" si="36"/>
        <v>0.49199826094157584</v>
      </c>
      <c r="D105" s="57">
        <f t="shared" si="36"/>
        <v>0.53820030530655072</v>
      </c>
      <c r="E105" s="57">
        <f t="shared" si="36"/>
        <v>0.61363682031909339</v>
      </c>
      <c r="F105" s="57">
        <f t="shared" si="36"/>
        <v>0.64494210049340439</v>
      </c>
      <c r="G105" s="57">
        <f t="shared" si="36"/>
        <v>0.71577529858315048</v>
      </c>
      <c r="H105" s="57">
        <f t="shared" si="36"/>
        <v>0.78303832768674098</v>
      </c>
      <c r="I105" s="57">
        <f t="shared" si="36"/>
        <v>0.78281643474129625</v>
      </c>
      <c r="J105" s="57">
        <f t="shared" si="36"/>
        <v>0.74236273063996161</v>
      </c>
      <c r="K105" s="57">
        <f t="shared" si="36"/>
        <v>0.63222392424453422</v>
      </c>
      <c r="L105" s="57">
        <f t="shared" si="36"/>
        <v>0.52877162056166971</v>
      </c>
      <c r="M105" s="57">
        <f t="shared" si="36"/>
        <v>0.43795481888592835</v>
      </c>
      <c r="N105" s="59"/>
    </row>
    <row r="106" spans="1:14" s="29" customFormat="1" ht="18" hidden="1" customHeight="1" x14ac:dyDescent="0.25">
      <c r="A106" s="31">
        <v>2002</v>
      </c>
      <c r="B106" s="57">
        <f t="shared" si="36"/>
        <v>0.73848382082803443</v>
      </c>
      <c r="C106" s="57">
        <f t="shared" si="36"/>
        <v>0.57576746158614167</v>
      </c>
      <c r="D106" s="57">
        <f t="shared" si="36"/>
        <v>0.41896237487714338</v>
      </c>
      <c r="E106" s="57">
        <f t="shared" si="36"/>
        <v>0.32552038247945769</v>
      </c>
      <c r="F106" s="57">
        <f t="shared" si="36"/>
        <v>0.24030213865006766</v>
      </c>
      <c r="G106" s="57">
        <f t="shared" si="36"/>
        <v>0.17806264960099738</v>
      </c>
      <c r="H106" s="57">
        <f t="shared" si="36"/>
        <v>0.17628400634378427</v>
      </c>
      <c r="I106" s="57">
        <f t="shared" si="36"/>
        <v>0.18119277392191813</v>
      </c>
      <c r="J106" s="57">
        <f t="shared" si="36"/>
        <v>0.21263035318825962</v>
      </c>
      <c r="K106" s="57">
        <f t="shared" si="36"/>
        <v>0.2438741438844001</v>
      </c>
      <c r="L106" s="57">
        <f t="shared" si="36"/>
        <v>0.24765938385297703</v>
      </c>
      <c r="M106" s="59">
        <f t="shared" si="36"/>
        <v>0.26509804771215983</v>
      </c>
      <c r="N106" s="59"/>
    </row>
    <row r="107" spans="1:14" ht="18" hidden="1" x14ac:dyDescent="0.25">
      <c r="A107" s="31">
        <v>2001</v>
      </c>
      <c r="B107" s="57">
        <f t="shared" si="36"/>
        <v>0.2312644078117525</v>
      </c>
      <c r="C107" s="57">
        <f t="shared" si="36"/>
        <v>0.32616596002422771</v>
      </c>
      <c r="D107" s="57">
        <f t="shared" si="36"/>
        <v>0.38879391457612744</v>
      </c>
      <c r="E107" s="57">
        <f t="shared" si="36"/>
        <v>0.48997936344154303</v>
      </c>
      <c r="F107" s="57">
        <f t="shared" si="36"/>
        <v>0.55842143780265641</v>
      </c>
      <c r="G107" s="57">
        <f t="shared" si="36"/>
        <v>0.58208209790298215</v>
      </c>
      <c r="H107" s="57">
        <f t="shared" si="36"/>
        <v>0.60791172864732324</v>
      </c>
      <c r="I107" s="57">
        <f t="shared" si="36"/>
        <v>0.61624606419474603</v>
      </c>
      <c r="J107" s="57">
        <f t="shared" si="36"/>
        <v>0.60876128508883798</v>
      </c>
      <c r="K107" s="57">
        <f t="shared" si="36"/>
        <v>0.64381277794637204</v>
      </c>
      <c r="L107" s="57">
        <f t="shared" si="36"/>
        <v>0.6911191641245078</v>
      </c>
      <c r="M107" s="59">
        <f t="shared" si="36"/>
        <v>0.7325381706252756</v>
      </c>
      <c r="N107" s="2"/>
    </row>
    <row r="108" spans="1:14" ht="18" hidden="1" x14ac:dyDescent="0.25">
      <c r="A108" s="31">
        <v>2000</v>
      </c>
      <c r="B108" s="57">
        <f t="shared" si="36"/>
        <v>-0.32857309736580809</v>
      </c>
      <c r="C108" s="57">
        <f t="shared" si="36"/>
        <v>-0.35500613907802214</v>
      </c>
      <c r="D108" s="57">
        <f t="shared" si="36"/>
        <v>-0.33468819157284058</v>
      </c>
      <c r="E108" s="57">
        <f t="shared" si="36"/>
        <v>-0.33954524605202807</v>
      </c>
      <c r="F108" s="57">
        <f t="shared" si="36"/>
        <v>-0.32026206049829598</v>
      </c>
      <c r="G108" s="57">
        <f t="shared" si="36"/>
        <v>-0.30078551504944284</v>
      </c>
      <c r="H108" s="57">
        <f t="shared" si="36"/>
        <v>-0.29745011044034497</v>
      </c>
      <c r="I108" s="57">
        <f t="shared" si="36"/>
        <v>-0.27919108431286199</v>
      </c>
      <c r="J108" s="57">
        <f t="shared" si="36"/>
        <v>-0.26295756372837575</v>
      </c>
      <c r="K108" s="57">
        <f t="shared" si="36"/>
        <v>-0.24510644074699428</v>
      </c>
      <c r="L108" s="57">
        <f t="shared" si="36"/>
        <v>-0.23570955408697103</v>
      </c>
      <c r="M108" s="59">
        <f t="shared" si="36"/>
        <v>-0.2253789714462946</v>
      </c>
      <c r="N108" s="2"/>
    </row>
    <row r="109" spans="1:14" x14ac:dyDescent="0.2">
      <c r="N109" s="2"/>
    </row>
    <row r="110" spans="1:14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4" x14ac:dyDescent="0.2">
      <c r="B111" s="2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</sheetData>
  <mergeCells count="2">
    <mergeCell ref="A52:C52"/>
    <mergeCell ref="A58:C58"/>
  </mergeCells>
  <phoneticPr fontId="12" type="noConversion"/>
  <pageMargins left="0.5" right="0.5" top="0.5" bottom="0.5" header="0.33" footer="0.25"/>
  <pageSetup scale="65" orientation="landscape" r:id="rId1"/>
  <headerFooter alignWithMargins="0">
    <oddFooter>&amp;Z&amp;F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15"/>
  <sheetViews>
    <sheetView zoomScale="65" workbookViewId="0">
      <selection activeCell="I74" sqref="I74"/>
    </sheetView>
  </sheetViews>
  <sheetFormatPr defaultColWidth="7.33203125" defaultRowHeight="15" x14ac:dyDescent="0.2"/>
  <cols>
    <col min="1" max="1" width="25.33203125" customWidth="1"/>
    <col min="2" max="2" width="11.33203125" customWidth="1"/>
    <col min="3" max="13" width="10.6640625" customWidth="1"/>
    <col min="14" max="14" width="12.6640625" customWidth="1"/>
    <col min="15" max="15" width="1.6640625" customWidth="1"/>
  </cols>
  <sheetData>
    <row r="2" ht="6.75" customHeight="1" x14ac:dyDescent="0.2"/>
    <row r="26" spans="1:14" x14ac:dyDescent="0.2">
      <c r="L26" s="169"/>
    </row>
    <row r="27" spans="1:14" s="29" customFormat="1" ht="20.25" customHeight="1" thickBot="1" x14ac:dyDescent="0.3">
      <c r="A27" s="27" t="s">
        <v>109</v>
      </c>
      <c r="B27" s="28" t="s">
        <v>48</v>
      </c>
      <c r="C27" s="28" t="s">
        <v>49</v>
      </c>
      <c r="D27" s="28" t="s">
        <v>50</v>
      </c>
      <c r="E27" s="28" t="s">
        <v>51</v>
      </c>
      <c r="F27" s="28" t="s">
        <v>52</v>
      </c>
      <c r="G27" s="28" t="s">
        <v>53</v>
      </c>
      <c r="H27" s="28" t="s">
        <v>54</v>
      </c>
      <c r="I27" s="28" t="s">
        <v>55</v>
      </c>
      <c r="J27" s="28" t="s">
        <v>56</v>
      </c>
      <c r="K27" s="28" t="s">
        <v>57</v>
      </c>
      <c r="L27" s="28" t="s">
        <v>58</v>
      </c>
      <c r="M27" s="28" t="s">
        <v>59</v>
      </c>
      <c r="N27" s="28" t="s">
        <v>60</v>
      </c>
    </row>
    <row r="28" spans="1:14" s="29" customFormat="1" ht="20.25" customHeight="1" x14ac:dyDescent="0.25">
      <c r="A28" s="30">
        <v>2020</v>
      </c>
      <c r="B28" s="185">
        <f>'Doc excl. Marriage'!B28</f>
        <v>10352</v>
      </c>
      <c r="C28" s="185">
        <f>'Doc excl. Marriage'!C28</f>
        <v>9531</v>
      </c>
      <c r="D28" s="185">
        <f>'Doc excl. Marriage'!D28</f>
        <v>10599</v>
      </c>
      <c r="E28" s="185">
        <f>'Doc excl. Marriage'!E28</f>
        <v>10594</v>
      </c>
      <c r="F28" s="185">
        <f>'Doc excl. Marriage'!F28</f>
        <v>10693</v>
      </c>
      <c r="G28" s="185">
        <f>'Doc excl. Marriage'!G28</f>
        <v>13989</v>
      </c>
      <c r="H28" s="185">
        <f>'Doc excl. Marriage'!H28</f>
        <v>15287</v>
      </c>
      <c r="I28" s="185">
        <f>'Doc excl. Marriage'!I28</f>
        <v>14568</v>
      </c>
      <c r="J28" s="185"/>
      <c r="K28" s="185"/>
      <c r="L28" s="185"/>
      <c r="M28" s="185"/>
      <c r="N28" s="185">
        <f>SUM(B28:M28)</f>
        <v>95613</v>
      </c>
    </row>
    <row r="29" spans="1:14" s="29" customFormat="1" ht="20.25" customHeight="1" x14ac:dyDescent="0.25">
      <c r="A29" s="31">
        <v>2019</v>
      </c>
      <c r="B29" s="188">
        <f>'Doc excl. Marriage'!B29</f>
        <v>6886</v>
      </c>
      <c r="C29" s="188">
        <f>'Doc excl. Marriage'!C29</f>
        <v>6598</v>
      </c>
      <c r="D29" s="188">
        <f>'Doc excl. Marriage'!D29</f>
        <v>7288</v>
      </c>
      <c r="E29" s="188">
        <f>'Doc excl. Marriage'!E29</f>
        <v>8167</v>
      </c>
      <c r="F29" s="188">
        <f>'Doc excl. Marriage'!F29</f>
        <v>9041</v>
      </c>
      <c r="G29" s="188">
        <f>'Doc excl. Marriage'!G29</f>
        <v>8916</v>
      </c>
      <c r="H29" s="188">
        <f>'Doc excl. Marriage'!H29</f>
        <v>9875</v>
      </c>
      <c r="I29" s="188">
        <f>'Doc excl. Marriage'!I29</f>
        <v>10873</v>
      </c>
      <c r="J29" s="188">
        <f>'Doc excl. Marriage'!J29</f>
        <v>11304</v>
      </c>
      <c r="K29" s="188">
        <f>'Doc excl. Marriage'!K29</f>
        <v>11836</v>
      </c>
      <c r="L29" s="188">
        <f>'Doc excl. Marriage'!L29</f>
        <v>10258</v>
      </c>
      <c r="M29" s="188">
        <f>'Doc excl. Marriage'!M29</f>
        <v>11259</v>
      </c>
      <c r="N29" s="188">
        <f>SUM(B29:M29)</f>
        <v>112301</v>
      </c>
    </row>
    <row r="30" spans="1:14" s="29" customFormat="1" ht="20.25" customHeight="1" x14ac:dyDescent="0.25">
      <c r="A30" s="31">
        <v>2018</v>
      </c>
      <c r="B30" s="188">
        <f>'Doc excl. Marriage'!B30</f>
        <v>8742</v>
      </c>
      <c r="C30" s="177">
        <f>'Doc excl. Marriage'!C30</f>
        <v>7597</v>
      </c>
      <c r="D30" s="177">
        <f>'Doc excl. Marriage'!D30</f>
        <v>9004</v>
      </c>
      <c r="E30" s="177">
        <f>'Doc excl. Marriage'!E30</f>
        <v>8353</v>
      </c>
      <c r="F30" s="177">
        <f>'Doc excl. Marriage'!F30</f>
        <v>9087</v>
      </c>
      <c r="G30" s="177">
        <f>'Doc excl. Marriage'!G30</f>
        <v>8286</v>
      </c>
      <c r="H30" s="177">
        <f>'Doc excl. Marriage'!H30</f>
        <v>8824</v>
      </c>
      <c r="I30" s="177">
        <f>'Doc excl. Marriage'!I30</f>
        <v>9147</v>
      </c>
      <c r="J30" s="177">
        <f>'Doc excl. Marriage'!J30</f>
        <v>7555</v>
      </c>
      <c r="K30" s="177">
        <f>'Doc excl. Marriage'!K30</f>
        <v>8444</v>
      </c>
      <c r="L30" s="177">
        <f>'Doc excl. Marriage'!L30</f>
        <v>7460</v>
      </c>
      <c r="M30" s="177">
        <f>'Doc excl. Marriage'!M30</f>
        <v>7204</v>
      </c>
      <c r="N30" s="177">
        <f t="shared" ref="N30:N35" si="0">SUM(B30:M30)</f>
        <v>99703</v>
      </c>
    </row>
    <row r="31" spans="1:14" s="29" customFormat="1" ht="20.25" customHeight="1" x14ac:dyDescent="0.25">
      <c r="A31" s="31">
        <v>2017</v>
      </c>
      <c r="B31" s="177">
        <f>10204-142-159</f>
        <v>9903</v>
      </c>
      <c r="C31" s="177">
        <f>8874-171-119</f>
        <v>8584</v>
      </c>
      <c r="D31" s="177">
        <f>9813-233-223</f>
        <v>9357</v>
      </c>
      <c r="E31" s="177">
        <f>'Doc excl. Marriage'!E31</f>
        <v>8253</v>
      </c>
      <c r="F31" s="177">
        <f>'Doc excl. Marriage'!F31</f>
        <v>10068</v>
      </c>
      <c r="G31" s="177">
        <f>'Doc excl. Marriage'!G31</f>
        <v>10046</v>
      </c>
      <c r="H31" s="177">
        <f>'Doc excl. Marriage'!H31</f>
        <v>9054</v>
      </c>
      <c r="I31" s="177">
        <f>'Doc excl. Marriage'!I31</f>
        <v>10358</v>
      </c>
      <c r="J31" s="177">
        <f>'Doc excl. Marriage'!J31</f>
        <v>9127</v>
      </c>
      <c r="K31" s="177">
        <f>'Doc excl. Marriage'!K31</f>
        <v>10025</v>
      </c>
      <c r="L31" s="177">
        <f>'Doc excl. Marriage'!L31</f>
        <v>9372</v>
      </c>
      <c r="M31" s="177">
        <f>'Doc excl. Marriage'!M31</f>
        <v>8522</v>
      </c>
      <c r="N31" s="177">
        <f t="shared" si="0"/>
        <v>112669</v>
      </c>
    </row>
    <row r="32" spans="1:14" s="29" customFormat="1" ht="20.25" customHeight="1" x14ac:dyDescent="0.25">
      <c r="A32" s="31">
        <v>2016</v>
      </c>
      <c r="B32" s="177">
        <v>8163</v>
      </c>
      <c r="C32" s="177">
        <v>8017</v>
      </c>
      <c r="D32" s="177">
        <v>9617</v>
      </c>
      <c r="E32" s="177">
        <v>9220</v>
      </c>
      <c r="F32" s="177">
        <v>9643</v>
      </c>
      <c r="G32" s="177">
        <v>10669</v>
      </c>
      <c r="H32" s="177">
        <v>9792</v>
      </c>
      <c r="I32" s="177">
        <v>11419</v>
      </c>
      <c r="J32" s="177">
        <v>10436</v>
      </c>
      <c r="K32" s="177">
        <v>10909</v>
      </c>
      <c r="L32" s="177">
        <v>10410</v>
      </c>
      <c r="M32" s="177">
        <v>11023</v>
      </c>
      <c r="N32" s="177">
        <f t="shared" si="0"/>
        <v>119318</v>
      </c>
    </row>
    <row r="33" spans="1:14" s="29" customFormat="1" ht="20.25" hidden="1" customHeight="1" x14ac:dyDescent="0.25">
      <c r="A33" s="31">
        <v>2015</v>
      </c>
      <c r="B33" s="177">
        <v>8694</v>
      </c>
      <c r="C33" s="177">
        <v>8730</v>
      </c>
      <c r="D33" s="177">
        <v>9134</v>
      </c>
      <c r="E33" s="177">
        <v>9149</v>
      </c>
      <c r="F33" s="177">
        <v>9177</v>
      </c>
      <c r="G33" s="177">
        <v>10876</v>
      </c>
      <c r="H33" s="177">
        <v>10692</v>
      </c>
      <c r="I33" s="177">
        <v>10079</v>
      </c>
      <c r="J33" s="177">
        <v>9280</v>
      </c>
      <c r="K33" s="177">
        <v>9363</v>
      </c>
      <c r="L33" s="177">
        <v>8378</v>
      </c>
      <c r="M33" s="177">
        <v>8890</v>
      </c>
      <c r="N33" s="177">
        <f t="shared" si="0"/>
        <v>112442</v>
      </c>
    </row>
    <row r="34" spans="1:14" s="29" customFormat="1" ht="20.25" hidden="1" customHeight="1" x14ac:dyDescent="0.25">
      <c r="A34" s="31">
        <v>2014</v>
      </c>
      <c r="B34" s="177">
        <v>6275</v>
      </c>
      <c r="C34" s="177">
        <v>5471</v>
      </c>
      <c r="D34" s="177">
        <v>5971</v>
      </c>
      <c r="E34" s="177">
        <v>6803</v>
      </c>
      <c r="F34" s="177">
        <v>7288</v>
      </c>
      <c r="G34" s="177">
        <v>7560</v>
      </c>
      <c r="H34" s="177">
        <v>8006</v>
      </c>
      <c r="I34" s="177">
        <v>7741</v>
      </c>
      <c r="J34" s="177">
        <v>7710</v>
      </c>
      <c r="K34" s="177">
        <v>8585</v>
      </c>
      <c r="L34" s="177">
        <v>7539</v>
      </c>
      <c r="M34" s="177">
        <v>9444</v>
      </c>
      <c r="N34" s="177">
        <f t="shared" si="0"/>
        <v>88393</v>
      </c>
    </row>
    <row r="35" spans="1:14" s="29" customFormat="1" ht="20.25" hidden="1" customHeight="1" x14ac:dyDescent="0.25">
      <c r="A35" s="31">
        <v>2012</v>
      </c>
      <c r="B35" s="177">
        <f>'Doc excl. Marriage'!B36</f>
        <v>6722</v>
      </c>
      <c r="C35" s="177">
        <f>'Doc excl. Marriage'!C36</f>
        <v>7376</v>
      </c>
      <c r="D35" s="177">
        <f>'Doc excl. Marriage'!D36</f>
        <v>8232</v>
      </c>
      <c r="E35" s="177">
        <f>'Doc excl. Marriage'!E36</f>
        <v>7715</v>
      </c>
      <c r="F35" s="177">
        <f>'Doc excl. Marriage'!F36</f>
        <v>8342</v>
      </c>
      <c r="G35" s="177">
        <f>'Doc excl. Marriage'!G36</f>
        <v>8300</v>
      </c>
      <c r="H35" s="177">
        <f>'Doc excl. Marriage'!H36</f>
        <v>8637</v>
      </c>
      <c r="I35" s="177">
        <f>'Doc excl. Marriage'!I36</f>
        <v>9790</v>
      </c>
      <c r="J35" s="177">
        <f>'Doc excl. Marriage'!J36</f>
        <v>7578</v>
      </c>
      <c r="K35" s="177">
        <f>'Doc excl. Marriage'!K36</f>
        <v>10390</v>
      </c>
      <c r="L35" s="177">
        <f>'Doc excl. Marriage'!L36</f>
        <v>9138</v>
      </c>
      <c r="M35" s="177">
        <f>'Doc excl. Marriage'!M36</f>
        <v>9635</v>
      </c>
      <c r="N35" s="177">
        <f t="shared" si="0"/>
        <v>101855</v>
      </c>
    </row>
    <row r="36" spans="1:14" s="29" customFormat="1" ht="20.85" hidden="1" customHeight="1" x14ac:dyDescent="0.25">
      <c r="A36" s="31">
        <v>2011</v>
      </c>
      <c r="B36" s="165">
        <f>'Doc excl. Marriage'!B37</f>
        <v>8296</v>
      </c>
      <c r="C36" s="165">
        <f>'Doc excl. Marriage'!C37</f>
        <v>6705</v>
      </c>
      <c r="D36" s="165">
        <f>'Doc excl. Marriage'!D37</f>
        <v>7119</v>
      </c>
      <c r="E36" s="165">
        <f>'Doc excl. Marriage'!E37</f>
        <v>6203</v>
      </c>
      <c r="F36" s="165">
        <f>'Doc excl. Marriage'!F37</f>
        <v>6498</v>
      </c>
      <c r="G36" s="165">
        <f>'Doc excl. Marriage'!G37</f>
        <v>6760</v>
      </c>
      <c r="H36" s="165">
        <f>'Doc excl. Marriage'!H37</f>
        <v>6411</v>
      </c>
      <c r="I36" s="165">
        <f>'Doc excl. Marriage'!I37</f>
        <v>6911</v>
      </c>
      <c r="J36" s="165">
        <f>'Doc excl. Marriage'!J37</f>
        <v>6580</v>
      </c>
      <c r="K36" s="165">
        <f>'Doc excl. Marriage'!K37</f>
        <v>7207</v>
      </c>
      <c r="L36" s="165">
        <f>'Doc excl. Marriage'!L37</f>
        <v>7035</v>
      </c>
      <c r="M36" s="165">
        <f>'Doc excl. Marriage'!M37</f>
        <v>7706</v>
      </c>
      <c r="N36" s="151">
        <f t="shared" ref="N36:N48" si="1">SUM(B36:M36)</f>
        <v>83431</v>
      </c>
    </row>
    <row r="37" spans="1:14" s="29" customFormat="1" ht="18" hidden="1" x14ac:dyDescent="0.25">
      <c r="A37" s="72">
        <v>2010</v>
      </c>
      <c r="B37" s="151">
        <f>'Doc excl. Marriage'!B38</f>
        <v>6839</v>
      </c>
      <c r="C37" s="151">
        <f>'Doc excl. Marriage'!C38</f>
        <v>6267</v>
      </c>
      <c r="D37" s="151">
        <f>'Doc excl. Marriage'!D38</f>
        <v>7956</v>
      </c>
      <c r="E37" s="151">
        <f>'Doc excl. Marriage'!E38</f>
        <v>7566</v>
      </c>
      <c r="F37" s="151">
        <f>'Doc excl. Marriage'!F38</f>
        <v>7015</v>
      </c>
      <c r="G37" s="151">
        <f>'Doc excl. Marriage'!G38</f>
        <v>8360</v>
      </c>
      <c r="H37" s="151">
        <f>'Doc excl. Marriage'!H38</f>
        <v>7010</v>
      </c>
      <c r="I37" s="151">
        <f>'Doc excl. Marriage'!I38</f>
        <v>8110</v>
      </c>
      <c r="J37" s="151">
        <f>'Doc excl. Marriage'!J38</f>
        <v>8391</v>
      </c>
      <c r="K37" s="151">
        <f>'Doc excl. Marriage'!K38</f>
        <v>8912</v>
      </c>
      <c r="L37" s="151">
        <f>'Doc excl. Marriage'!L38</f>
        <v>9373</v>
      </c>
      <c r="M37" s="151">
        <f>'Doc excl. Marriage'!M38</f>
        <v>8889</v>
      </c>
      <c r="N37" s="151">
        <f t="shared" si="1"/>
        <v>94688</v>
      </c>
    </row>
    <row r="38" spans="1:14" s="29" customFormat="1" ht="15.75" hidden="1" customHeight="1" x14ac:dyDescent="0.25">
      <c r="A38" s="31">
        <v>2009</v>
      </c>
      <c r="B38" s="149">
        <f>'Doc excl. Marriage'!B39</f>
        <v>7320</v>
      </c>
      <c r="C38" s="149">
        <f>'Doc excl. Marriage'!C39</f>
        <v>8280</v>
      </c>
      <c r="D38" s="149">
        <f>'Doc excl. Marriage'!D39</f>
        <v>9681</v>
      </c>
      <c r="E38" s="149">
        <f>'Doc excl. Marriage'!E39</f>
        <v>10427</v>
      </c>
      <c r="F38" s="149">
        <f>'Doc excl. Marriage'!F39</f>
        <v>10058</v>
      </c>
      <c r="G38" s="149">
        <f>'Doc excl. Marriage'!G39</f>
        <v>11286</v>
      </c>
      <c r="H38" s="149">
        <f>'Doc excl. Marriage'!H39</f>
        <v>10414</v>
      </c>
      <c r="I38" s="149">
        <f>'Doc excl. Marriage'!I39</f>
        <v>8101</v>
      </c>
      <c r="J38" s="149">
        <f>'Doc excl. Marriage'!J39</f>
        <v>7759</v>
      </c>
      <c r="K38" s="149">
        <f>'Doc excl. Marriage'!K39</f>
        <v>8112</v>
      </c>
      <c r="L38" s="149">
        <f>'Doc excl. Marriage'!L39</f>
        <v>7316</v>
      </c>
      <c r="M38" s="149">
        <f>'Doc excl. Marriage'!M39</f>
        <v>8426</v>
      </c>
      <c r="N38" s="151">
        <f t="shared" si="1"/>
        <v>107180</v>
      </c>
    </row>
    <row r="39" spans="1:14" s="29" customFormat="1" ht="18" hidden="1" x14ac:dyDescent="0.25">
      <c r="A39" s="31">
        <v>2008</v>
      </c>
      <c r="B39" s="149">
        <f>'Doc excl. Marriage'!B40</f>
        <v>8537</v>
      </c>
      <c r="C39" s="149">
        <f>'Doc excl. Marriage'!C40</f>
        <v>9879</v>
      </c>
      <c r="D39" s="149">
        <f>'Doc excl. Marriage'!D40</f>
        <v>10829</v>
      </c>
      <c r="E39" s="149">
        <f>'Doc excl. Marriage'!E40</f>
        <v>11065</v>
      </c>
      <c r="F39" s="149">
        <f>'Doc excl. Marriage'!F40</f>
        <v>9663</v>
      </c>
      <c r="G39" s="149">
        <f>'Doc excl. Marriage'!G40</f>
        <v>9136</v>
      </c>
      <c r="H39" s="149">
        <f>'Doc excl. Marriage'!H40</f>
        <v>8849</v>
      </c>
      <c r="I39" s="149">
        <f>'Doc excl. Marriage'!I40</f>
        <v>8504</v>
      </c>
      <c r="J39" s="149">
        <f>'Doc excl. Marriage'!J40</f>
        <v>7851</v>
      </c>
      <c r="K39" s="149">
        <f>'Doc excl. Marriage'!K40</f>
        <v>7806</v>
      </c>
      <c r="L39" s="149">
        <f>'Doc excl. Marriage'!L40</f>
        <v>6272</v>
      </c>
      <c r="M39" s="149">
        <f>'Doc excl. Marriage'!M40</f>
        <v>6453</v>
      </c>
      <c r="N39" s="151">
        <f t="shared" si="1"/>
        <v>104844</v>
      </c>
    </row>
    <row r="40" spans="1:14" s="29" customFormat="1" ht="18" hidden="1" x14ac:dyDescent="0.25">
      <c r="A40" s="31">
        <v>2007</v>
      </c>
      <c r="B40" s="149">
        <f>'Doc excl. Marriage'!B41</f>
        <v>12071</v>
      </c>
      <c r="C40" s="149">
        <f>'Doc excl. Marriage'!C41</f>
        <v>11006</v>
      </c>
      <c r="D40" s="149">
        <f>'Doc excl. Marriage'!D41</f>
        <v>13241</v>
      </c>
      <c r="E40" s="149">
        <f>'Doc excl. Marriage'!E41</f>
        <v>12238</v>
      </c>
      <c r="F40" s="149">
        <f>'Doc excl. Marriage'!F41</f>
        <v>12684</v>
      </c>
      <c r="G40" s="149">
        <f>'Doc excl. Marriage'!G41</f>
        <v>13300</v>
      </c>
      <c r="H40" s="149">
        <f>'Doc excl. Marriage'!H41</f>
        <v>11341</v>
      </c>
      <c r="I40" s="149">
        <f>'Doc excl. Marriage'!I41</f>
        <v>12647</v>
      </c>
      <c r="J40" s="149">
        <f>'Doc excl. Marriage'!J41</f>
        <v>9470</v>
      </c>
      <c r="K40" s="149">
        <f>'Doc excl. Marriage'!K41</f>
        <v>10494</v>
      </c>
      <c r="L40" s="149">
        <f>'Doc excl. Marriage'!L41</f>
        <v>8918</v>
      </c>
      <c r="M40" s="149">
        <f>'Doc excl. Marriage'!M41</f>
        <v>8915</v>
      </c>
      <c r="N40" s="151">
        <f t="shared" si="1"/>
        <v>136325</v>
      </c>
    </row>
    <row r="41" spans="1:14" s="29" customFormat="1" ht="18" hidden="1" x14ac:dyDescent="0.25">
      <c r="A41" s="31">
        <v>2006</v>
      </c>
      <c r="B41" s="149">
        <f>'Doc excl. Marriage'!B42</f>
        <v>13476</v>
      </c>
      <c r="C41" s="149">
        <f>'Doc excl. Marriage'!C42</f>
        <v>11701</v>
      </c>
      <c r="D41" s="149">
        <f>'Doc excl. Marriage'!D42</f>
        <v>14965</v>
      </c>
      <c r="E41" s="149">
        <f>'Doc excl. Marriage'!E42</f>
        <v>14439</v>
      </c>
      <c r="F41" s="149">
        <f>'Doc excl. Marriage'!F42</f>
        <v>14884</v>
      </c>
      <c r="G41" s="149">
        <f>'Doc excl. Marriage'!G42</f>
        <v>13887</v>
      </c>
      <c r="H41" s="149">
        <f>'Doc excl. Marriage'!H42</f>
        <v>12566</v>
      </c>
      <c r="I41" s="149">
        <f>'Doc excl. Marriage'!I42</f>
        <v>13338</v>
      </c>
      <c r="J41" s="149">
        <f>'Doc excl. Marriage'!J42</f>
        <v>12086</v>
      </c>
      <c r="K41" s="149">
        <f>'Doc excl. Marriage'!K42</f>
        <v>12496</v>
      </c>
      <c r="L41" s="149">
        <f>'Doc excl. Marriage'!L42</f>
        <v>11823</v>
      </c>
      <c r="M41" s="149">
        <f>'Doc excl. Marriage'!M42</f>
        <v>12860</v>
      </c>
      <c r="N41" s="151">
        <f t="shared" si="1"/>
        <v>158521</v>
      </c>
    </row>
    <row r="42" spans="1:14" s="39" customFormat="1" ht="18" hidden="1" x14ac:dyDescent="0.25">
      <c r="A42" s="31">
        <v>2005</v>
      </c>
      <c r="B42" s="149">
        <f>'Doc excl. Marriage'!B43</f>
        <v>12124</v>
      </c>
      <c r="C42" s="149">
        <f>'Doc excl. Marriage'!C43</f>
        <v>11397</v>
      </c>
      <c r="D42" s="149">
        <f>'Doc excl. Marriage'!D43</f>
        <v>14900</v>
      </c>
      <c r="E42" s="149">
        <f>'Doc excl. Marriage'!E43</f>
        <v>13484</v>
      </c>
      <c r="F42" s="149">
        <f>'Doc excl. Marriage'!F43</f>
        <v>14196</v>
      </c>
      <c r="G42" s="149">
        <f>'Doc excl. Marriage'!G43</f>
        <v>15028</v>
      </c>
      <c r="H42" s="149">
        <f>'Doc excl. Marriage'!H43</f>
        <v>14705</v>
      </c>
      <c r="I42" s="149">
        <f>'Doc excl. Marriage'!I43</f>
        <v>16054</v>
      </c>
      <c r="J42" s="149">
        <f>'Doc excl. Marriage'!J43</f>
        <v>15450</v>
      </c>
      <c r="K42" s="149">
        <f>'Doc excl. Marriage'!K43</f>
        <v>15323</v>
      </c>
      <c r="L42" s="149">
        <f>'Doc excl. Marriage'!L43</f>
        <v>15141</v>
      </c>
      <c r="M42" s="149">
        <f>'Doc excl. Marriage'!M43</f>
        <v>14642</v>
      </c>
      <c r="N42" s="151">
        <f t="shared" si="1"/>
        <v>172444</v>
      </c>
    </row>
    <row r="43" spans="1:14" s="29" customFormat="1" ht="18" hidden="1" x14ac:dyDescent="0.25">
      <c r="A43" s="31">
        <v>2004</v>
      </c>
      <c r="B43" s="149">
        <f>'Doc excl. Marriage'!B44</f>
        <v>9252</v>
      </c>
      <c r="C43" s="149">
        <f>'Doc excl. Marriage'!C44</f>
        <v>10562</v>
      </c>
      <c r="D43" s="149">
        <f>'Doc excl. Marriage'!D44</f>
        <v>13839</v>
      </c>
      <c r="E43" s="149">
        <f>'Doc excl. Marriage'!E44</f>
        <v>13192</v>
      </c>
      <c r="F43" s="149">
        <f>'Doc excl. Marriage'!F44</f>
        <v>12736</v>
      </c>
      <c r="G43" s="149">
        <f>'Doc excl. Marriage'!G44</f>
        <v>14049</v>
      </c>
      <c r="H43" s="149">
        <f>'Doc excl. Marriage'!H44</f>
        <v>12678</v>
      </c>
      <c r="I43" s="149">
        <f>'Doc excl. Marriage'!I44</f>
        <v>13027</v>
      </c>
      <c r="J43" s="149">
        <f>'Doc excl. Marriage'!J44</f>
        <v>12216</v>
      </c>
      <c r="K43" s="149">
        <f>'Doc excl. Marriage'!K44</f>
        <v>11749</v>
      </c>
      <c r="L43" s="149">
        <f>'Doc excl. Marriage'!L44</f>
        <v>12729</v>
      </c>
      <c r="M43" s="149">
        <f>'Doc excl. Marriage'!M44</f>
        <v>13011</v>
      </c>
      <c r="N43" s="151">
        <f t="shared" si="1"/>
        <v>149040</v>
      </c>
    </row>
    <row r="44" spans="1:14" s="29" customFormat="1" ht="16.5" hidden="1" customHeight="1" x14ac:dyDescent="0.25">
      <c r="A44" s="31">
        <v>2003</v>
      </c>
      <c r="B44" s="149">
        <f>'Doc excl. Marriage'!$B$45</f>
        <v>14736</v>
      </c>
      <c r="C44" s="149">
        <f>'Doc excl. Marriage'!$C$45</f>
        <v>14576</v>
      </c>
      <c r="D44" s="149">
        <f>'Doc excl. Marriage'!$D$45</f>
        <v>16570</v>
      </c>
      <c r="E44" s="149">
        <f>'Doc excl. Marriage'!E$45</f>
        <v>17602</v>
      </c>
      <c r="F44" s="149">
        <f>'Doc excl. Marriage'!F$45</f>
        <v>16910</v>
      </c>
      <c r="G44" s="149">
        <f>'Doc excl. Marriage'!G$45</f>
        <v>18344</v>
      </c>
      <c r="H44" s="149">
        <f>'Doc excl. Marriage'!H$45</f>
        <v>20091</v>
      </c>
      <c r="I44" s="149">
        <f>'Doc excl. Marriage'!I$45</f>
        <v>19990</v>
      </c>
      <c r="J44" s="149">
        <f>'Doc excl. Marriage'!J$45</f>
        <v>18548</v>
      </c>
      <c r="K44" s="149">
        <f>'Doc excl. Marriage'!K$45</f>
        <v>19302</v>
      </c>
      <c r="L44" s="149">
        <f>'Doc excl. Marriage'!L$45</f>
        <v>13173</v>
      </c>
      <c r="M44" s="149">
        <f>'Doc excl. Marriage'!M$45</f>
        <v>13141</v>
      </c>
      <c r="N44" s="149">
        <f t="shared" si="1"/>
        <v>202983</v>
      </c>
    </row>
    <row r="45" spans="1:14" s="29" customFormat="1" ht="18" hidden="1" x14ac:dyDescent="0.25">
      <c r="A45" s="31">
        <v>2002</v>
      </c>
      <c r="B45" s="32">
        <v>12028</v>
      </c>
      <c r="C45" s="32">
        <v>12874</v>
      </c>
      <c r="D45" s="32">
        <v>13311</v>
      </c>
      <c r="E45" s="32">
        <v>13316</v>
      </c>
      <c r="F45" s="32">
        <v>13940</v>
      </c>
      <c r="G45" s="32">
        <v>12475</v>
      </c>
      <c r="H45" s="32">
        <v>12740</v>
      </c>
      <c r="I45" s="32">
        <v>12614</v>
      </c>
      <c r="J45" s="32">
        <v>13001</v>
      </c>
      <c r="K45" s="33">
        <v>16556</v>
      </c>
      <c r="L45" s="33">
        <v>15127</v>
      </c>
      <c r="M45" s="32">
        <v>17743</v>
      </c>
      <c r="N45" s="32">
        <f t="shared" si="1"/>
        <v>165725</v>
      </c>
    </row>
    <row r="46" spans="1:14" s="29" customFormat="1" ht="18" hidden="1" x14ac:dyDescent="0.25">
      <c r="A46" s="31">
        <v>2001</v>
      </c>
      <c r="B46" s="32">
        <v>7569</v>
      </c>
      <c r="C46" s="32">
        <v>7745</v>
      </c>
      <c r="D46" s="32">
        <v>10214</v>
      </c>
      <c r="E46" s="32">
        <v>10661</v>
      </c>
      <c r="F46" s="32">
        <v>12150</v>
      </c>
      <c r="G46" s="32">
        <v>11893</v>
      </c>
      <c r="H46" s="32">
        <v>11583</v>
      </c>
      <c r="I46" s="32">
        <v>12621</v>
      </c>
      <c r="J46" s="32">
        <v>10146</v>
      </c>
      <c r="K46" s="33">
        <v>12422</v>
      </c>
      <c r="L46" s="33">
        <v>12008</v>
      </c>
      <c r="M46" s="32">
        <v>12246</v>
      </c>
      <c r="N46" s="32">
        <f t="shared" si="1"/>
        <v>131258</v>
      </c>
    </row>
    <row r="47" spans="1:14" s="29" customFormat="1" ht="18" hidden="1" x14ac:dyDescent="0.25">
      <c r="A47" s="31">
        <v>2000</v>
      </c>
      <c r="B47" s="32">
        <v>7463</v>
      </c>
      <c r="C47" s="32">
        <v>6891</v>
      </c>
      <c r="D47" s="32">
        <v>9397</v>
      </c>
      <c r="E47" s="32">
        <v>7573</v>
      </c>
      <c r="F47" s="32">
        <v>8165</v>
      </c>
      <c r="G47" s="32">
        <v>9160</v>
      </c>
      <c r="H47" s="32">
        <v>7002</v>
      </c>
      <c r="I47" s="32">
        <v>9034</v>
      </c>
      <c r="J47" s="32">
        <v>7753</v>
      </c>
      <c r="K47" s="33">
        <v>8270</v>
      </c>
      <c r="L47" s="33">
        <v>8115</v>
      </c>
      <c r="M47" s="32">
        <v>7496</v>
      </c>
      <c r="N47" s="32">
        <f t="shared" si="1"/>
        <v>96319</v>
      </c>
    </row>
    <row r="48" spans="1:14" s="29" customFormat="1" ht="18" hidden="1" x14ac:dyDescent="0.25">
      <c r="A48" s="31">
        <v>1999</v>
      </c>
      <c r="B48" s="32">
        <v>11072</v>
      </c>
      <c r="C48" s="32">
        <v>12223</v>
      </c>
      <c r="D48" s="32">
        <v>13432</v>
      </c>
      <c r="E48" s="32">
        <v>13052</v>
      </c>
      <c r="F48" s="32">
        <v>11841</v>
      </c>
      <c r="G48" s="32">
        <v>11207</v>
      </c>
      <c r="H48" s="32">
        <v>10769</v>
      </c>
      <c r="I48" s="32">
        <v>10135</v>
      </c>
      <c r="J48" s="32">
        <v>8576</v>
      </c>
      <c r="K48" s="33">
        <v>8343</v>
      </c>
      <c r="L48" s="33">
        <v>8869</v>
      </c>
      <c r="M48" s="32">
        <v>8922</v>
      </c>
      <c r="N48" s="32">
        <f t="shared" si="1"/>
        <v>128441</v>
      </c>
    </row>
    <row r="49" spans="1:14" s="29" customFormat="1" ht="18" x14ac:dyDescent="0.2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3"/>
      <c r="L49" s="33"/>
      <c r="M49" s="32"/>
      <c r="N49" s="32"/>
    </row>
    <row r="50" spans="1:14" s="29" customFormat="1" ht="18" x14ac:dyDescent="0.25">
      <c r="A50" s="27" t="s">
        <v>106</v>
      </c>
      <c r="B50" s="35"/>
      <c r="C50" s="35"/>
      <c r="D50" s="35"/>
      <c r="E50" s="35"/>
      <c r="F50" s="35"/>
      <c r="G50" s="35"/>
      <c r="H50" s="35"/>
      <c r="I50" s="35"/>
      <c r="J50" s="35"/>
      <c r="K50" s="36"/>
      <c r="L50" s="36"/>
      <c r="M50" s="30"/>
      <c r="N50" s="31"/>
    </row>
    <row r="51" spans="1:14" s="29" customFormat="1" ht="18" x14ac:dyDescent="0.25">
      <c r="A51" s="30">
        <v>2020</v>
      </c>
      <c r="B51" s="190">
        <f>'all pages'!B29</f>
        <v>56880</v>
      </c>
      <c r="C51" s="190">
        <f>'all pages'!C29</f>
        <v>58975</v>
      </c>
      <c r="D51" s="190">
        <f>'all pages'!D29</f>
        <v>72095</v>
      </c>
      <c r="E51" s="190">
        <f>'all pages'!E29</f>
        <v>74580</v>
      </c>
      <c r="F51" s="190">
        <f>'all pages'!F29</f>
        <v>76519</v>
      </c>
      <c r="G51" s="190">
        <f>'all pages'!G29</f>
        <v>85981</v>
      </c>
      <c r="H51" s="190">
        <f>'all pages'!H29</f>
        <v>95503</v>
      </c>
      <c r="I51" s="190">
        <f>'all pages'!I29</f>
        <v>88860</v>
      </c>
      <c r="J51" s="190"/>
      <c r="K51" s="190"/>
      <c r="L51" s="190"/>
      <c r="M51" s="190"/>
      <c r="N51" s="180">
        <f>SUM(B51:M51)</f>
        <v>609393</v>
      </c>
    </row>
    <row r="52" spans="1:14" s="29" customFormat="1" ht="18" x14ac:dyDescent="0.25">
      <c r="A52" s="31">
        <v>2019</v>
      </c>
      <c r="B52" s="182">
        <f>'all pages'!B30</f>
        <v>35714</v>
      </c>
      <c r="C52" s="182">
        <f>'all pages'!C30</f>
        <v>38340</v>
      </c>
      <c r="D52" s="182">
        <f>'all pages'!D30</f>
        <v>43193</v>
      </c>
      <c r="E52" s="182">
        <f>'all pages'!E30</f>
        <v>49998</v>
      </c>
      <c r="F52" s="182">
        <f>'all pages'!F30</f>
        <v>56058</v>
      </c>
      <c r="G52" s="182">
        <f>'all pages'!G30</f>
        <v>56259</v>
      </c>
      <c r="H52" s="182">
        <f>'all pages'!H30</f>
        <v>66419</v>
      </c>
      <c r="I52" s="182">
        <f>'all pages'!I30</f>
        <v>70768</v>
      </c>
      <c r="J52" s="182">
        <f>'all pages'!J30</f>
        <v>69646</v>
      </c>
      <c r="K52" s="182">
        <f>'all pages'!K30</f>
        <v>73437</v>
      </c>
      <c r="L52" s="182">
        <f>'all pages'!L30</f>
        <v>63908</v>
      </c>
      <c r="M52" s="182">
        <f>'all pages'!M30</f>
        <v>70546</v>
      </c>
      <c r="N52" s="181">
        <f>SUM(B52:M52)</f>
        <v>694286</v>
      </c>
    </row>
    <row r="53" spans="1:14" s="29" customFormat="1" ht="18" x14ac:dyDescent="0.25">
      <c r="A53" s="31">
        <v>2018</v>
      </c>
      <c r="B53" s="182">
        <f>'all pages'!B31</f>
        <v>47432</v>
      </c>
      <c r="C53" s="182">
        <f>'all pages'!C31</f>
        <v>41211</v>
      </c>
      <c r="D53" s="182">
        <f>'all pages'!D31</f>
        <v>49998</v>
      </c>
      <c r="E53" s="182">
        <f>'all pages'!E31</f>
        <v>45380</v>
      </c>
      <c r="F53" s="182">
        <f>'all pages'!F31</f>
        <v>50321</v>
      </c>
      <c r="G53" s="182">
        <f>'all pages'!G31</f>
        <v>49113</v>
      </c>
      <c r="H53" s="182">
        <f>'all pages'!H31</f>
        <v>48960</v>
      </c>
      <c r="I53" s="182">
        <f>'all pages'!I31</f>
        <v>53284</v>
      </c>
      <c r="J53" s="182">
        <f>'all pages'!J31</f>
        <v>43038</v>
      </c>
      <c r="K53" s="182">
        <f>'all pages'!K31</f>
        <v>46405</v>
      </c>
      <c r="L53" s="182">
        <f>'all pages'!L31</f>
        <v>43041</v>
      </c>
      <c r="M53" s="182">
        <f>'all pages'!M31</f>
        <v>40142</v>
      </c>
      <c r="N53" s="181">
        <f>SUM(B53:M53)</f>
        <v>558325</v>
      </c>
    </row>
    <row r="54" spans="1:14" s="29" customFormat="1" ht="18" x14ac:dyDescent="0.25">
      <c r="A54" s="31">
        <v>2017</v>
      </c>
      <c r="B54" s="182">
        <f>'all pages'!B32</f>
        <v>49945</v>
      </c>
      <c r="C54" s="182">
        <f>'all pages'!C32</f>
        <v>44976</v>
      </c>
      <c r="D54" s="182">
        <f>'all pages'!D32</f>
        <v>52185</v>
      </c>
      <c r="E54" s="182">
        <f>'all pages'!E32</f>
        <v>47107</v>
      </c>
      <c r="F54" s="182">
        <f>'all pages'!F32</f>
        <v>58061</v>
      </c>
      <c r="G54" s="182">
        <f>'all pages'!G32</f>
        <v>62147</v>
      </c>
      <c r="H54" s="182">
        <f>'all pages'!H32</f>
        <v>53056</v>
      </c>
      <c r="I54" s="182">
        <f>'all pages'!I32</f>
        <v>61159</v>
      </c>
      <c r="J54" s="182">
        <f>'all pages'!J32</f>
        <v>52095</v>
      </c>
      <c r="K54" s="182">
        <f>'all pages'!K32</f>
        <v>56616</v>
      </c>
      <c r="L54" s="182">
        <f>'all pages'!L32</f>
        <v>54192</v>
      </c>
      <c r="M54" s="182">
        <f>'all pages'!M32</f>
        <v>48074</v>
      </c>
      <c r="N54" s="182">
        <f t="shared" ref="N54:N58" si="2">SUM(B54:M54)</f>
        <v>639613</v>
      </c>
    </row>
    <row r="55" spans="1:14" s="29" customFormat="1" ht="18" x14ac:dyDescent="0.25">
      <c r="A55" s="31">
        <v>2016</v>
      </c>
      <c r="B55" s="182">
        <f>'all pages'!B33</f>
        <v>41498</v>
      </c>
      <c r="C55" s="182">
        <f>'all pages'!C33</f>
        <v>42833</v>
      </c>
      <c r="D55" s="182">
        <f>'all pages'!D33</f>
        <v>57053</v>
      </c>
      <c r="E55" s="182">
        <f>'all pages'!E33</f>
        <v>53044</v>
      </c>
      <c r="F55" s="182">
        <f>'all pages'!F33</f>
        <v>58125</v>
      </c>
      <c r="G55" s="182">
        <f>'all pages'!G33</f>
        <v>61924</v>
      </c>
      <c r="H55" s="182">
        <f>'all pages'!H33</f>
        <v>56993</v>
      </c>
      <c r="I55" s="182">
        <f>'all pages'!I33</f>
        <v>67476</v>
      </c>
      <c r="J55" s="182">
        <f>'all pages'!J33</f>
        <v>61913</v>
      </c>
      <c r="K55" s="182">
        <f>'all pages'!K33</f>
        <v>61006</v>
      </c>
      <c r="L55" s="182">
        <f>'all pages'!L33</f>
        <v>61996</v>
      </c>
      <c r="M55" s="182">
        <f>'all pages'!M33</f>
        <v>63338</v>
      </c>
      <c r="N55" s="182">
        <f t="shared" si="2"/>
        <v>687199</v>
      </c>
    </row>
    <row r="56" spans="1:14" s="29" customFormat="1" ht="18" hidden="1" x14ac:dyDescent="0.25">
      <c r="A56" s="31">
        <v>2015</v>
      </c>
      <c r="B56" s="183">
        <f>'all pages'!B34</f>
        <v>39450</v>
      </c>
      <c r="C56" s="183">
        <f>'all pages'!C34</f>
        <v>44371</v>
      </c>
      <c r="D56" s="183">
        <f>'all pages'!D34</f>
        <v>51697</v>
      </c>
      <c r="E56" s="183">
        <f>'all pages'!E34</f>
        <v>51188</v>
      </c>
      <c r="F56" s="183">
        <f>'all pages'!F34</f>
        <v>50047</v>
      </c>
      <c r="G56" s="183">
        <f>'all pages'!G34</f>
        <v>55393</v>
      </c>
      <c r="H56" s="183">
        <f>'all pages'!H34</f>
        <v>55418</v>
      </c>
      <c r="I56" s="183">
        <f>'all pages'!I34</f>
        <v>54014</v>
      </c>
      <c r="J56" s="183">
        <f>'all pages'!J34</f>
        <v>49472</v>
      </c>
      <c r="K56" s="183">
        <f>'all pages'!K34</f>
        <v>51776</v>
      </c>
      <c r="L56" s="183">
        <f>'all pages'!L34</f>
        <v>43471</v>
      </c>
      <c r="M56" s="183">
        <f>'all pages'!M34</f>
        <v>50533</v>
      </c>
      <c r="N56" s="183">
        <f t="shared" si="2"/>
        <v>596830</v>
      </c>
    </row>
    <row r="57" spans="1:14" s="29" customFormat="1" ht="18" hidden="1" x14ac:dyDescent="0.25">
      <c r="A57" s="31">
        <v>2014</v>
      </c>
      <c r="B57" s="183">
        <f>'all pages'!B35</f>
        <v>27025</v>
      </c>
      <c r="C57" s="183">
        <f>'all pages'!C35</f>
        <v>25785</v>
      </c>
      <c r="D57" s="183">
        <f>'all pages'!D35</f>
        <v>29432</v>
      </c>
      <c r="E57" s="183">
        <f>'all pages'!E35</f>
        <v>32691</v>
      </c>
      <c r="F57" s="183">
        <f>'all pages'!F35</f>
        <v>33796</v>
      </c>
      <c r="G57" s="183">
        <f>'all pages'!G35</f>
        <v>37205</v>
      </c>
      <c r="H57" s="183">
        <f>'all pages'!H35</f>
        <v>40720</v>
      </c>
      <c r="I57" s="183">
        <f>'all pages'!I35</f>
        <v>38056</v>
      </c>
      <c r="J57" s="183">
        <f>'all pages'!J35</f>
        <v>39449</v>
      </c>
      <c r="K57" s="183">
        <f>'all pages'!K35</f>
        <v>44355</v>
      </c>
      <c r="L57" s="183">
        <f>'all pages'!L35</f>
        <v>37337</v>
      </c>
      <c r="M57" s="183">
        <f>'all pages'!M35</f>
        <v>44643</v>
      </c>
      <c r="N57" s="183">
        <f t="shared" si="2"/>
        <v>430494</v>
      </c>
    </row>
    <row r="58" spans="1:14" s="29" customFormat="1" ht="18" hidden="1" x14ac:dyDescent="0.25">
      <c r="A58" s="31">
        <v>2012</v>
      </c>
      <c r="B58" s="183">
        <f>'all pages'!B37</f>
        <v>31112</v>
      </c>
      <c r="C58" s="183">
        <f>'all pages'!C37</f>
        <v>34996</v>
      </c>
      <c r="D58" s="183">
        <f>'all pages'!D37</f>
        <v>40377</v>
      </c>
      <c r="E58" s="183">
        <f>'all pages'!E37</f>
        <v>36558</v>
      </c>
      <c r="F58" s="183">
        <f>'all pages'!F37</f>
        <v>39901</v>
      </c>
      <c r="G58" s="183">
        <f>'all pages'!G37</f>
        <v>41594</v>
      </c>
      <c r="H58" s="183">
        <f>'all pages'!H37</f>
        <v>43370</v>
      </c>
      <c r="I58" s="183">
        <f>'all pages'!I37</f>
        <v>47974</v>
      </c>
      <c r="J58" s="183">
        <f>'all pages'!J37</f>
        <v>39033</v>
      </c>
      <c r="K58" s="183">
        <f>'all pages'!K37</f>
        <v>51888</v>
      </c>
      <c r="L58" s="183">
        <f>'all pages'!L37</f>
        <v>45456</v>
      </c>
      <c r="M58" s="183">
        <f>'all pages'!M37</f>
        <v>52657</v>
      </c>
      <c r="N58" s="183">
        <f t="shared" si="2"/>
        <v>504916</v>
      </c>
    </row>
    <row r="59" spans="1:14" s="29" customFormat="1" ht="18" hidden="1" x14ac:dyDescent="0.25">
      <c r="A59" s="31">
        <v>2011</v>
      </c>
      <c r="B59" s="149">
        <f>'all pages'!B38</f>
        <v>35069</v>
      </c>
      <c r="C59" s="149">
        <f>'all pages'!C38</f>
        <v>27959</v>
      </c>
      <c r="D59" s="149">
        <f>'all pages'!D38</f>
        <v>31019</v>
      </c>
      <c r="E59" s="149">
        <f>'all pages'!E38</f>
        <v>26775</v>
      </c>
      <c r="F59" s="149">
        <f>'all pages'!F38</f>
        <v>28678</v>
      </c>
      <c r="G59" s="149">
        <f>'all pages'!G38</f>
        <v>29857</v>
      </c>
      <c r="H59" s="149">
        <f>'all pages'!H38</f>
        <v>31396</v>
      </c>
      <c r="I59" s="149">
        <f>'all pages'!I38</f>
        <v>32155</v>
      </c>
      <c r="J59" s="149">
        <f>'all pages'!J38</f>
        <v>32373</v>
      </c>
      <c r="K59" s="149">
        <f>'all pages'!K38</f>
        <v>36840</v>
      </c>
      <c r="L59" s="149">
        <f>'all pages'!L38</f>
        <v>35194</v>
      </c>
      <c r="M59" s="149">
        <f>'all pages'!M38</f>
        <v>37340</v>
      </c>
      <c r="N59" s="151">
        <f t="shared" ref="N59:N65" si="3">SUM(B59:M59)</f>
        <v>384655</v>
      </c>
    </row>
    <row r="60" spans="1:14" s="29" customFormat="1" ht="18" hidden="1" customHeight="1" x14ac:dyDescent="0.25">
      <c r="A60" s="72">
        <v>2010</v>
      </c>
      <c r="B60" s="149">
        <f>'all pages'!B39</f>
        <v>29834</v>
      </c>
      <c r="C60" s="149">
        <f>'all pages'!C39</f>
        <v>28102</v>
      </c>
      <c r="D60" s="149">
        <f>'all pages'!D39</f>
        <v>35322</v>
      </c>
      <c r="E60" s="149">
        <f>'all pages'!E39</f>
        <v>33202</v>
      </c>
      <c r="F60" s="149">
        <f>'all pages'!F39</f>
        <v>30057</v>
      </c>
      <c r="G60" s="149">
        <f>'all pages'!G39</f>
        <v>35940</v>
      </c>
      <c r="H60" s="149">
        <f>'all pages'!H39</f>
        <v>33283</v>
      </c>
      <c r="I60" s="149">
        <f>'all pages'!I39</f>
        <v>38935</v>
      </c>
      <c r="J60" s="149">
        <f>'all pages'!J39</f>
        <v>40555</v>
      </c>
      <c r="K60" s="149">
        <f>'all pages'!K39</f>
        <v>44338</v>
      </c>
      <c r="L60" s="149">
        <f>'all pages'!L39</f>
        <v>46884</v>
      </c>
      <c r="M60" s="149">
        <f>'all pages'!M39</f>
        <v>45463</v>
      </c>
      <c r="N60" s="151">
        <f t="shared" si="3"/>
        <v>441915</v>
      </c>
    </row>
    <row r="61" spans="1:14" s="29" customFormat="1" ht="18" hidden="1" x14ac:dyDescent="0.25">
      <c r="A61" s="31">
        <v>2009</v>
      </c>
      <c r="B61" s="149">
        <f>'all pages'!B40</f>
        <v>34944</v>
      </c>
      <c r="C61" s="149">
        <f>'all pages'!C40</f>
        <v>40782</v>
      </c>
      <c r="D61" s="149">
        <f>'all pages'!D40</f>
        <v>46954</v>
      </c>
      <c r="E61" s="149">
        <f>'all pages'!E40</f>
        <v>47641</v>
      </c>
      <c r="F61" s="149">
        <f>'all pages'!F40</f>
        <v>49373</v>
      </c>
      <c r="G61" s="149">
        <f>'all pages'!G40</f>
        <v>54148</v>
      </c>
      <c r="H61" s="149">
        <f>'all pages'!H40</f>
        <v>46843</v>
      </c>
      <c r="I61" s="149">
        <f>'all pages'!I40</f>
        <v>35490</v>
      </c>
      <c r="J61" s="149">
        <f>'all pages'!J40</f>
        <v>37019</v>
      </c>
      <c r="K61" s="149">
        <f>'all pages'!K40</f>
        <v>34614</v>
      </c>
      <c r="L61" s="149">
        <f>'all pages'!L40</f>
        <v>34736</v>
      </c>
      <c r="M61" s="149">
        <f>'all pages'!M40</f>
        <v>38514</v>
      </c>
      <c r="N61" s="151">
        <f t="shared" si="3"/>
        <v>501058</v>
      </c>
    </row>
    <row r="62" spans="1:14" s="29" customFormat="1" ht="18" hidden="1" x14ac:dyDescent="0.25">
      <c r="A62" s="31">
        <v>2008</v>
      </c>
      <c r="B62" s="149">
        <f>'all pages'!B41</f>
        <v>41505</v>
      </c>
      <c r="C62" s="149">
        <f>'all pages'!C41</f>
        <v>51225</v>
      </c>
      <c r="D62" s="149">
        <f>'all pages'!D41</f>
        <v>53372</v>
      </c>
      <c r="E62" s="149">
        <f>'all pages'!E41</f>
        <v>52523</v>
      </c>
      <c r="F62" s="149">
        <f>'all pages'!F41</f>
        <v>43404</v>
      </c>
      <c r="G62" s="149">
        <f>'all pages'!G41</f>
        <v>39383</v>
      </c>
      <c r="H62" s="149">
        <f>'all pages'!H41</f>
        <v>37386</v>
      </c>
      <c r="I62" s="149">
        <f>'all pages'!I41</f>
        <v>32622</v>
      </c>
      <c r="J62" s="149">
        <f>'all pages'!J41</f>
        <v>30873</v>
      </c>
      <c r="K62" s="149">
        <f>'all pages'!K41</f>
        <v>32583</v>
      </c>
      <c r="L62" s="149">
        <f>'all pages'!L41</f>
        <v>24041</v>
      </c>
      <c r="M62" s="149">
        <f>'all pages'!M41</f>
        <v>27052</v>
      </c>
      <c r="N62" s="151">
        <f t="shared" si="3"/>
        <v>465969</v>
      </c>
    </row>
    <row r="63" spans="1:14" s="29" customFormat="1" ht="18" hidden="1" x14ac:dyDescent="0.25">
      <c r="A63" s="31">
        <v>2007</v>
      </c>
      <c r="B63" s="149">
        <f>'all pages'!B42</f>
        <v>60154</v>
      </c>
      <c r="C63" s="149">
        <f>'all pages'!C42</f>
        <v>56962</v>
      </c>
      <c r="D63" s="149">
        <f>'all pages'!D42</f>
        <v>68370</v>
      </c>
      <c r="E63" s="149">
        <f>'all pages'!E42</f>
        <v>63364</v>
      </c>
      <c r="F63" s="149">
        <f>'all pages'!F42</f>
        <v>66679</v>
      </c>
      <c r="G63" s="149">
        <f>'all pages'!G42</f>
        <v>67152</v>
      </c>
      <c r="H63" s="149">
        <f>'all pages'!H42</f>
        <v>58292</v>
      </c>
      <c r="I63" s="149">
        <f>'all pages'!I42</f>
        <v>61750</v>
      </c>
      <c r="J63" s="149">
        <f>'all pages'!J42</f>
        <v>46499</v>
      </c>
      <c r="K63" s="149">
        <f>'all pages'!K42</f>
        <v>51390</v>
      </c>
      <c r="L63" s="149">
        <f>'all pages'!L42</f>
        <v>44660</v>
      </c>
      <c r="M63" s="149">
        <f>'all pages'!M42</f>
        <v>45665</v>
      </c>
      <c r="N63" s="151">
        <f t="shared" si="3"/>
        <v>690937</v>
      </c>
    </row>
    <row r="64" spans="1:14" s="29" customFormat="1" ht="18" hidden="1" x14ac:dyDescent="0.25">
      <c r="A64" s="31">
        <v>2006</v>
      </c>
      <c r="B64" s="149">
        <f>'all pages'!B43</f>
        <v>65820</v>
      </c>
      <c r="C64" s="149">
        <f>'all pages'!C43</f>
        <v>63495</v>
      </c>
      <c r="D64" s="149">
        <f>'all pages'!D43</f>
        <v>80888</v>
      </c>
      <c r="E64" s="149">
        <f>'all pages'!E43</f>
        <v>69397</v>
      </c>
      <c r="F64" s="149">
        <f>'all pages'!F43</f>
        <v>80435</v>
      </c>
      <c r="G64" s="149">
        <f>'all pages'!G43</f>
        <v>76701</v>
      </c>
      <c r="H64" s="149">
        <f>'all pages'!H43</f>
        <v>68221</v>
      </c>
      <c r="I64" s="149">
        <f>'all pages'!I43</f>
        <v>73172</v>
      </c>
      <c r="J64" s="149">
        <f>'all pages'!J43</f>
        <v>67721</v>
      </c>
      <c r="K64" s="149">
        <f>'all pages'!K43</f>
        <v>71075</v>
      </c>
      <c r="L64" s="149">
        <f>'all pages'!L43</f>
        <v>66097</v>
      </c>
      <c r="M64" s="149">
        <f>'all pages'!M43</f>
        <v>68126</v>
      </c>
      <c r="N64" s="151">
        <f t="shared" si="3"/>
        <v>851148</v>
      </c>
    </row>
    <row r="65" spans="1:14" s="29" customFormat="1" ht="16.5" hidden="1" customHeight="1" x14ac:dyDescent="0.25">
      <c r="A65" s="31">
        <v>2005</v>
      </c>
      <c r="B65" s="149">
        <f>'all pages'!B44</f>
        <v>60160</v>
      </c>
      <c r="C65" s="149">
        <f>'all pages'!C44</f>
        <v>59120</v>
      </c>
      <c r="D65" s="149">
        <f>'all pages'!D44</f>
        <v>80422</v>
      </c>
      <c r="E65" s="149">
        <f>'all pages'!E44</f>
        <v>73674</v>
      </c>
      <c r="F65" s="149">
        <f>'all pages'!F44</f>
        <v>74594</v>
      </c>
      <c r="G65" s="149">
        <f>'all pages'!G44</f>
        <v>84047</v>
      </c>
      <c r="H65" s="149">
        <f>'all pages'!H44</f>
        <v>80520</v>
      </c>
      <c r="I65" s="149">
        <f>'all pages'!I44</f>
        <v>89756</v>
      </c>
      <c r="J65" s="149">
        <f>'all pages'!J44</f>
        <v>84336</v>
      </c>
      <c r="K65" s="149">
        <f>'all pages'!K44</f>
        <v>80683</v>
      </c>
      <c r="L65" s="149">
        <f>'all pages'!L44</f>
        <v>77634</v>
      </c>
      <c r="M65" s="149">
        <f>'all pages'!M44</f>
        <v>79342</v>
      </c>
      <c r="N65" s="151">
        <f t="shared" si="3"/>
        <v>924288</v>
      </c>
    </row>
    <row r="66" spans="1:14" s="29" customFormat="1" ht="18" hidden="1" x14ac:dyDescent="0.25">
      <c r="A66" s="31">
        <v>2004</v>
      </c>
      <c r="B66" s="149">
        <f>'all pages'!B45</f>
        <v>42988</v>
      </c>
      <c r="C66" s="149">
        <f>'all pages'!C45</f>
        <v>53142</v>
      </c>
      <c r="D66" s="149">
        <f>'all pages'!D45</f>
        <v>69794</v>
      </c>
      <c r="E66" s="149">
        <f>'all pages'!E45</f>
        <v>75326</v>
      </c>
      <c r="F66" s="149">
        <f>'all pages'!F45</f>
        <v>69654</v>
      </c>
      <c r="G66" s="149">
        <f>'all pages'!G45</f>
        <v>71927</v>
      </c>
      <c r="H66" s="149">
        <f>'all pages'!H45</f>
        <v>64147</v>
      </c>
      <c r="I66" s="149">
        <f>'all pages'!I45</f>
        <v>65819</v>
      </c>
      <c r="J66" s="149">
        <f>'all pages'!J45</f>
        <v>63452</v>
      </c>
      <c r="K66" s="149">
        <f>'all pages'!K45</f>
        <v>65036</v>
      </c>
      <c r="L66" s="149">
        <f>'all pages'!L45</f>
        <v>66306</v>
      </c>
      <c r="M66" s="149">
        <f>'all pages'!M45</f>
        <v>68549</v>
      </c>
      <c r="N66" s="152">
        <f t="shared" ref="N66:N71" si="4">SUM(B66:M66)</f>
        <v>776140</v>
      </c>
    </row>
    <row r="67" spans="1:14" s="29" customFormat="1" ht="18" hidden="1" x14ac:dyDescent="0.25">
      <c r="A67" s="31">
        <v>2003</v>
      </c>
      <c r="B67" s="149">
        <f>'all pages'!B46</f>
        <v>73684</v>
      </c>
      <c r="C67" s="149">
        <f>'all pages'!C46</f>
        <v>70449</v>
      </c>
      <c r="D67" s="149">
        <f>'all pages'!D46</f>
        <v>84602</v>
      </c>
      <c r="E67" s="149">
        <f>'all pages'!E46</f>
        <v>92482</v>
      </c>
      <c r="F67" s="149">
        <f>'all pages'!F46</f>
        <v>87181</v>
      </c>
      <c r="G67" s="149">
        <f>'all pages'!G46</f>
        <v>97428</v>
      </c>
      <c r="H67" s="149">
        <f>'all pages'!H46</f>
        <v>113088</v>
      </c>
      <c r="I67" s="149">
        <f>'all pages'!I46</f>
        <v>105332</v>
      </c>
      <c r="J67" s="149">
        <f>'all pages'!J46</f>
        <v>88615</v>
      </c>
      <c r="K67" s="149">
        <f>'all pages'!K46</f>
        <v>77935</v>
      </c>
      <c r="L67" s="149">
        <f>'all pages'!L46</f>
        <v>54497</v>
      </c>
      <c r="M67" s="149">
        <f>'all pages'!M46</f>
        <v>62269</v>
      </c>
      <c r="N67" s="152">
        <f t="shared" si="4"/>
        <v>1007562</v>
      </c>
    </row>
    <row r="68" spans="1:14" s="29" customFormat="1" ht="18" hidden="1" x14ac:dyDescent="0.25">
      <c r="A68" s="31">
        <v>2002</v>
      </c>
      <c r="B68" s="32">
        <v>49213</v>
      </c>
      <c r="C68" s="32">
        <v>47391</v>
      </c>
      <c r="D68" s="32">
        <v>52099</v>
      </c>
      <c r="E68" s="32">
        <v>50361</v>
      </c>
      <c r="F68" s="32">
        <v>49211</v>
      </c>
      <c r="G68" s="32">
        <v>46534</v>
      </c>
      <c r="H68" s="32">
        <v>52303</v>
      </c>
      <c r="I68" s="32">
        <v>59125</v>
      </c>
      <c r="J68" s="32">
        <v>60291</v>
      </c>
      <c r="K68" s="33">
        <v>79228</v>
      </c>
      <c r="L68" s="33">
        <v>72579</v>
      </c>
      <c r="M68" s="32">
        <v>82356</v>
      </c>
      <c r="N68" s="32">
        <f t="shared" si="4"/>
        <v>700691</v>
      </c>
    </row>
    <row r="69" spans="1:14" s="29" customFormat="1" ht="18" hidden="1" x14ac:dyDescent="0.25">
      <c r="A69" s="31">
        <v>2001</v>
      </c>
      <c r="B69" s="32">
        <v>28308</v>
      </c>
      <c r="C69" s="32">
        <v>32998</v>
      </c>
      <c r="D69" s="32">
        <v>43491</v>
      </c>
      <c r="E69" s="32">
        <v>45381</v>
      </c>
      <c r="F69" s="32">
        <v>49995</v>
      </c>
      <c r="G69" s="32">
        <v>50076</v>
      </c>
      <c r="H69" s="32">
        <v>44843</v>
      </c>
      <c r="I69" s="32">
        <v>48829</v>
      </c>
      <c r="J69" s="32">
        <v>40803</v>
      </c>
      <c r="K69" s="33">
        <v>54031</v>
      </c>
      <c r="L69" s="33">
        <v>56841</v>
      </c>
      <c r="M69" s="32">
        <v>58267</v>
      </c>
      <c r="N69" s="32">
        <f t="shared" si="4"/>
        <v>553863</v>
      </c>
    </row>
    <row r="70" spans="1:14" s="29" customFormat="1" ht="18" hidden="1" x14ac:dyDescent="0.25">
      <c r="A70" s="31">
        <v>2000</v>
      </c>
      <c r="B70" s="32">
        <v>22991</v>
      </c>
      <c r="C70" s="32">
        <v>23237</v>
      </c>
      <c r="D70" s="32">
        <v>29231</v>
      </c>
      <c r="E70" s="32">
        <v>25333</v>
      </c>
      <c r="F70" s="32">
        <v>27654</v>
      </c>
      <c r="G70" s="32">
        <v>29731</v>
      </c>
      <c r="H70" s="32">
        <v>25348</v>
      </c>
      <c r="I70" s="32">
        <v>29265</v>
      </c>
      <c r="J70" s="32">
        <v>26353</v>
      </c>
      <c r="K70" s="33">
        <v>27770</v>
      </c>
      <c r="L70" s="33">
        <v>26145</v>
      </c>
      <c r="M70" s="32">
        <v>26625</v>
      </c>
      <c r="N70" s="32">
        <f t="shared" si="4"/>
        <v>319683</v>
      </c>
    </row>
    <row r="71" spans="1:14" s="29" customFormat="1" ht="18" hidden="1" x14ac:dyDescent="0.25">
      <c r="A71" s="31">
        <v>1999</v>
      </c>
      <c r="B71" s="32">
        <v>34242</v>
      </c>
      <c r="C71" s="32">
        <v>37430</v>
      </c>
      <c r="D71" s="32">
        <v>41747</v>
      </c>
      <c r="E71" s="32">
        <v>39191</v>
      </c>
      <c r="F71" s="32">
        <v>36354</v>
      </c>
      <c r="G71" s="32">
        <v>37257</v>
      </c>
      <c r="H71" s="32">
        <v>35006</v>
      </c>
      <c r="I71" s="32">
        <v>33983</v>
      </c>
      <c r="J71" s="32">
        <v>29253</v>
      </c>
      <c r="K71" s="33">
        <v>29114</v>
      </c>
      <c r="L71" s="33">
        <v>29861</v>
      </c>
      <c r="M71" s="32">
        <v>29258</v>
      </c>
      <c r="N71" s="34">
        <f t="shared" si="4"/>
        <v>412696</v>
      </c>
    </row>
    <row r="72" spans="1:14" s="29" customFormat="1" ht="18" x14ac:dyDescent="0.2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3"/>
      <c r="L72" s="33"/>
      <c r="M72" s="32"/>
      <c r="N72" s="34"/>
    </row>
    <row r="73" spans="1:14" s="29" customFormat="1" ht="19.5" customHeight="1" x14ac:dyDescent="0.25">
      <c r="A73" s="27" t="s">
        <v>157</v>
      </c>
      <c r="B73" s="35"/>
      <c r="C73" s="35"/>
      <c r="D73" s="35"/>
      <c r="E73" s="35"/>
      <c r="F73" s="35"/>
      <c r="G73" s="35"/>
      <c r="H73" s="35"/>
      <c r="I73" s="35"/>
      <c r="J73" s="35"/>
      <c r="K73" s="36"/>
      <c r="L73" s="36"/>
      <c r="M73" s="30"/>
      <c r="N73" s="30" t="s">
        <v>156</v>
      </c>
    </row>
    <row r="74" spans="1:14" s="29" customFormat="1" ht="19.5" customHeight="1" x14ac:dyDescent="0.25">
      <c r="A74" s="30">
        <v>2020</v>
      </c>
      <c r="B74" s="173">
        <f t="shared" ref="B74:B94" si="5">SUM(B51/B28)</f>
        <v>5.4945904173106648</v>
      </c>
      <c r="C74" s="173">
        <f t="shared" ref="C74:M75" si="6">SUM(C51/C28)</f>
        <v>6.1877032840205644</v>
      </c>
      <c r="D74" s="173">
        <f t="shared" si="6"/>
        <v>6.8020567978111144</v>
      </c>
      <c r="E74" s="173">
        <f t="shared" si="6"/>
        <v>7.0398338682272987</v>
      </c>
      <c r="F74" s="173">
        <f t="shared" si="6"/>
        <v>7.1559898999345366</v>
      </c>
      <c r="G74" s="173">
        <f t="shared" si="6"/>
        <v>6.1463292587032665</v>
      </c>
      <c r="H74" s="173">
        <f t="shared" si="6"/>
        <v>6.2473343363642311</v>
      </c>
      <c r="I74" s="173">
        <f t="shared" si="6"/>
        <v>6.0996705107084024</v>
      </c>
      <c r="J74" s="173"/>
      <c r="K74" s="173"/>
      <c r="L74" s="173"/>
      <c r="M74" s="173"/>
      <c r="N74" s="173">
        <f>AVERAGE(B74:M74)</f>
        <v>6.3966885466350103</v>
      </c>
    </row>
    <row r="75" spans="1:14" s="29" customFormat="1" ht="19.5" customHeight="1" x14ac:dyDescent="0.25">
      <c r="A75" s="31">
        <v>2019</v>
      </c>
      <c r="B75" s="37">
        <f t="shared" si="5"/>
        <v>5.1864652918966021</v>
      </c>
      <c r="C75" s="37">
        <f t="shared" si="6"/>
        <v>5.8108517732646252</v>
      </c>
      <c r="D75" s="37">
        <f t="shared" si="6"/>
        <v>5.9265916575192099</v>
      </c>
      <c r="E75" s="37">
        <f t="shared" si="6"/>
        <v>6.1219542059507779</v>
      </c>
      <c r="F75" s="37">
        <f t="shared" si="6"/>
        <v>6.2004203074881099</v>
      </c>
      <c r="G75" s="37">
        <f t="shared" si="6"/>
        <v>6.3098923283983845</v>
      </c>
      <c r="H75" s="37">
        <f t="shared" si="6"/>
        <v>6.7259746835443037</v>
      </c>
      <c r="I75" s="37">
        <f t="shared" si="6"/>
        <v>6.5085992826266903</v>
      </c>
      <c r="J75" s="37">
        <f t="shared" si="6"/>
        <v>6.161181882519462</v>
      </c>
      <c r="K75" s="37">
        <f t="shared" si="6"/>
        <v>6.2045454545454541</v>
      </c>
      <c r="L75" s="37">
        <f t="shared" si="6"/>
        <v>6.2300643400272957</v>
      </c>
      <c r="M75" s="37">
        <f t="shared" si="6"/>
        <v>6.2657429611866062</v>
      </c>
      <c r="N75" s="37">
        <f>AVERAGE(B75:M75)</f>
        <v>6.137690347413959</v>
      </c>
    </row>
    <row r="76" spans="1:14" s="29" customFormat="1" ht="19.5" customHeight="1" x14ac:dyDescent="0.25">
      <c r="A76" s="31">
        <v>2018</v>
      </c>
      <c r="B76" s="37">
        <f t="shared" si="5"/>
        <v>5.4257606954930218</v>
      </c>
      <c r="C76" s="37">
        <f t="shared" ref="C76:M76" si="7">SUM(C53/C30)</f>
        <v>5.4246413057785965</v>
      </c>
      <c r="D76" s="37">
        <f t="shared" si="7"/>
        <v>5.5528653931585961</v>
      </c>
      <c r="E76" s="37">
        <f t="shared" si="7"/>
        <v>5.4327786424039264</v>
      </c>
      <c r="F76" s="37">
        <f t="shared" si="7"/>
        <v>5.5376912072191038</v>
      </c>
      <c r="G76" s="37">
        <f t="shared" si="7"/>
        <v>5.9272266473569877</v>
      </c>
      <c r="H76" s="37">
        <f t="shared" si="7"/>
        <v>5.5485040797824112</v>
      </c>
      <c r="I76" s="37">
        <f t="shared" si="7"/>
        <v>5.8252979118836778</v>
      </c>
      <c r="J76" s="37">
        <f t="shared" si="7"/>
        <v>5.6966247518199866</v>
      </c>
      <c r="K76" s="37">
        <f t="shared" si="7"/>
        <v>5.4956181904310757</v>
      </c>
      <c r="L76" s="37">
        <f t="shared" si="7"/>
        <v>5.7695710455764075</v>
      </c>
      <c r="M76" s="37">
        <f t="shared" si="7"/>
        <v>5.5721821210438645</v>
      </c>
      <c r="N76" s="37">
        <f>SUM(N53/N30)</f>
        <v>5.5998816484960336</v>
      </c>
    </row>
    <row r="77" spans="1:14" s="29" customFormat="1" ht="19.5" customHeight="1" x14ac:dyDescent="0.25">
      <c r="A77" s="31">
        <v>2017</v>
      </c>
      <c r="B77" s="37">
        <f t="shared" si="5"/>
        <v>5.0434211854993434</v>
      </c>
      <c r="C77" s="37">
        <f t="shared" ref="C77:N77" si="8">SUM(C54/C31)</f>
        <v>5.2395153774464118</v>
      </c>
      <c r="D77" s="37">
        <f t="shared" si="8"/>
        <v>5.5771080474511061</v>
      </c>
      <c r="E77" s="37">
        <f t="shared" si="8"/>
        <v>5.7078638071004484</v>
      </c>
      <c r="F77" s="37">
        <f t="shared" si="8"/>
        <v>5.7668851807707586</v>
      </c>
      <c r="G77" s="37">
        <f t="shared" si="8"/>
        <v>6.1862432809078243</v>
      </c>
      <c r="H77" s="37">
        <f t="shared" si="8"/>
        <v>5.8599514026949411</v>
      </c>
      <c r="I77" s="37">
        <f t="shared" si="8"/>
        <v>5.9045182467657851</v>
      </c>
      <c r="J77" s="37">
        <f t="shared" si="8"/>
        <v>5.7077900734085683</v>
      </c>
      <c r="K77" s="37">
        <f t="shared" si="8"/>
        <v>5.6474812967581052</v>
      </c>
      <c r="L77" s="37">
        <f t="shared" si="8"/>
        <v>5.7823303457106272</v>
      </c>
      <c r="M77" s="37">
        <f t="shared" si="8"/>
        <v>5.6411640459985914</v>
      </c>
      <c r="N77" s="37">
        <f t="shared" si="8"/>
        <v>5.6769208921708723</v>
      </c>
    </row>
    <row r="78" spans="1:14" s="29" customFormat="1" ht="18" x14ac:dyDescent="0.25">
      <c r="A78" s="31">
        <v>2016</v>
      </c>
      <c r="B78" s="37">
        <f t="shared" si="5"/>
        <v>5.0836702192821264</v>
      </c>
      <c r="C78" s="37">
        <f t="shared" ref="C78:M78" si="9">SUM(C55/C32)</f>
        <v>5.3427716103280529</v>
      </c>
      <c r="D78" s="37">
        <f t="shared" si="9"/>
        <v>5.9325153374233128</v>
      </c>
      <c r="E78" s="37">
        <f t="shared" si="9"/>
        <v>5.7531453362255967</v>
      </c>
      <c r="F78" s="37">
        <f t="shared" si="9"/>
        <v>6.0276884786892042</v>
      </c>
      <c r="G78" s="37">
        <f t="shared" si="9"/>
        <v>5.8041053519542603</v>
      </c>
      <c r="H78" s="37">
        <f t="shared" si="9"/>
        <v>5.8203635620915035</v>
      </c>
      <c r="I78" s="37">
        <f t="shared" si="9"/>
        <v>5.9090988703038798</v>
      </c>
      <c r="J78" s="37">
        <f t="shared" si="9"/>
        <v>5.9326370256803376</v>
      </c>
      <c r="K78" s="37">
        <f t="shared" si="9"/>
        <v>5.5922632688605738</v>
      </c>
      <c r="L78" s="37">
        <f t="shared" si="9"/>
        <v>5.955427473583093</v>
      </c>
      <c r="M78" s="37">
        <f t="shared" si="9"/>
        <v>5.745985666334029</v>
      </c>
      <c r="N78" s="37">
        <f t="shared" ref="N78:N85" si="10">SUM(N55/N32)</f>
        <v>5.7593908714527569</v>
      </c>
    </row>
    <row r="79" spans="1:14" s="29" customFormat="1" ht="18" hidden="1" x14ac:dyDescent="0.25">
      <c r="A79" s="31">
        <v>2015</v>
      </c>
      <c r="B79" s="37">
        <f t="shared" si="5"/>
        <v>4.5376121463077981</v>
      </c>
      <c r="C79" s="37">
        <f t="shared" ref="C79:M79" si="11">SUM(C56/C33)</f>
        <v>5.0825887743413514</v>
      </c>
      <c r="D79" s="37">
        <f t="shared" si="11"/>
        <v>5.6598423472739219</v>
      </c>
      <c r="E79" s="37">
        <f t="shared" si="11"/>
        <v>5.5949284074762273</v>
      </c>
      <c r="F79" s="37">
        <f t="shared" si="11"/>
        <v>5.4535251171406776</v>
      </c>
      <c r="G79" s="37">
        <f t="shared" si="11"/>
        <v>5.0931408606105188</v>
      </c>
      <c r="H79" s="37">
        <f t="shared" si="11"/>
        <v>5.1831275720164607</v>
      </c>
      <c r="I79" s="37">
        <f t="shared" si="11"/>
        <v>5.3590633991467405</v>
      </c>
      <c r="J79" s="37">
        <f t="shared" si="11"/>
        <v>5.3310344827586205</v>
      </c>
      <c r="K79" s="37">
        <f t="shared" si="11"/>
        <v>5.5298515433087685</v>
      </c>
      <c r="L79" s="37">
        <f t="shared" si="11"/>
        <v>5.1887085223203631</v>
      </c>
      <c r="M79" s="37">
        <f t="shared" si="11"/>
        <v>5.6842519685039372</v>
      </c>
      <c r="N79" s="37">
        <f t="shared" si="10"/>
        <v>5.3078920687999149</v>
      </c>
    </row>
    <row r="80" spans="1:14" s="29" customFormat="1" ht="18" hidden="1" x14ac:dyDescent="0.25">
      <c r="A80" s="31">
        <v>2014</v>
      </c>
      <c r="B80" s="37">
        <f t="shared" si="5"/>
        <v>4.3067729083665336</v>
      </c>
      <c r="C80" s="37">
        <f t="shared" ref="C80:M80" si="12">SUM(C57/C34)</f>
        <v>4.7130323524035829</v>
      </c>
      <c r="D80" s="37">
        <f t="shared" si="12"/>
        <v>4.9291575950427067</v>
      </c>
      <c r="E80" s="37">
        <f t="shared" si="12"/>
        <v>4.8053799794208434</v>
      </c>
      <c r="F80" s="37">
        <f t="shared" si="12"/>
        <v>4.6372118551042814</v>
      </c>
      <c r="G80" s="37">
        <f t="shared" si="12"/>
        <v>4.9212962962962967</v>
      </c>
      <c r="H80" s="37">
        <f t="shared" si="12"/>
        <v>5.0861853609792655</v>
      </c>
      <c r="I80" s="37">
        <f t="shared" si="12"/>
        <v>4.9161607027515828</v>
      </c>
      <c r="J80" s="37">
        <f t="shared" si="12"/>
        <v>5.1166018158236053</v>
      </c>
      <c r="K80" s="37">
        <f t="shared" si="12"/>
        <v>5.1665695981362845</v>
      </c>
      <c r="L80" s="37">
        <f t="shared" si="12"/>
        <v>4.952513595967635</v>
      </c>
      <c r="M80" s="37">
        <f t="shared" si="12"/>
        <v>4.7271283354510798</v>
      </c>
      <c r="N80" s="37">
        <f t="shared" si="10"/>
        <v>4.8702272804407585</v>
      </c>
    </row>
    <row r="81" spans="1:14" s="29" customFormat="1" ht="18" hidden="1" x14ac:dyDescent="0.25">
      <c r="A81" s="31">
        <v>2012</v>
      </c>
      <c r="B81" s="37">
        <f t="shared" si="5"/>
        <v>4.6283844094019635</v>
      </c>
      <c r="C81" s="37">
        <f t="shared" ref="C81:M81" si="13">SUM(C58/C35)</f>
        <v>4.7445770065075923</v>
      </c>
      <c r="D81" s="37">
        <f t="shared" si="13"/>
        <v>4.9048833819241979</v>
      </c>
      <c r="E81" s="37">
        <f t="shared" si="13"/>
        <v>4.7385612443292286</v>
      </c>
      <c r="F81" s="37">
        <f t="shared" si="13"/>
        <v>4.7831455286502038</v>
      </c>
      <c r="G81" s="37">
        <f t="shared" si="13"/>
        <v>5.0113253012048196</v>
      </c>
      <c r="H81" s="37">
        <f t="shared" si="13"/>
        <v>5.0214194743545209</v>
      </c>
      <c r="I81" s="37">
        <f t="shared" si="13"/>
        <v>4.900306435137896</v>
      </c>
      <c r="J81" s="37">
        <f t="shared" si="13"/>
        <v>5.1508313539192399</v>
      </c>
      <c r="K81" s="37">
        <f t="shared" si="13"/>
        <v>4.9940327237728583</v>
      </c>
      <c r="L81" s="37">
        <f t="shared" si="13"/>
        <v>4.9743926460932366</v>
      </c>
      <c r="M81" s="37">
        <f t="shared" si="13"/>
        <v>5.4651790347690712</v>
      </c>
      <c r="N81" s="37">
        <f t="shared" si="10"/>
        <v>4.9572038682440729</v>
      </c>
    </row>
    <row r="82" spans="1:14" s="29" customFormat="1" ht="17.25" hidden="1" customHeight="1" x14ac:dyDescent="0.25">
      <c r="A82" s="31">
        <v>2011</v>
      </c>
      <c r="B82" s="37">
        <f t="shared" si="5"/>
        <v>4.2272179363548696</v>
      </c>
      <c r="C82" s="37">
        <f t="shared" ref="C82:M82" si="14">SUM(C59/C36)</f>
        <v>4.169873228933632</v>
      </c>
      <c r="D82" s="37">
        <f t="shared" si="14"/>
        <v>4.3572130917263658</v>
      </c>
      <c r="E82" s="37">
        <f t="shared" si="14"/>
        <v>4.3164597775270028</v>
      </c>
      <c r="F82" s="37">
        <f t="shared" si="14"/>
        <v>4.4133579562942442</v>
      </c>
      <c r="G82" s="37">
        <f t="shared" si="14"/>
        <v>4.4167159763313606</v>
      </c>
      <c r="H82" s="37">
        <f t="shared" si="14"/>
        <v>4.8972079238808295</v>
      </c>
      <c r="I82" s="37">
        <f t="shared" si="14"/>
        <v>4.6527275358124731</v>
      </c>
      <c r="J82" s="37">
        <f t="shared" si="14"/>
        <v>4.9199088145896654</v>
      </c>
      <c r="K82" s="37">
        <f t="shared" si="14"/>
        <v>5.1116969612876373</v>
      </c>
      <c r="L82" s="37">
        <f t="shared" si="14"/>
        <v>5.0027007818052596</v>
      </c>
      <c r="M82" s="37">
        <f t="shared" si="14"/>
        <v>4.8455748767194393</v>
      </c>
      <c r="N82" s="37">
        <f t="shared" si="10"/>
        <v>4.6104565449293426</v>
      </c>
    </row>
    <row r="83" spans="1:14" s="29" customFormat="1" ht="18" hidden="1" x14ac:dyDescent="0.25">
      <c r="A83" s="72">
        <v>2010</v>
      </c>
      <c r="B83" s="37">
        <f t="shared" si="5"/>
        <v>4.3623336745138177</v>
      </c>
      <c r="C83" s="37">
        <f t="shared" ref="C83:M83" si="15">SUM(C60/C37)</f>
        <v>4.4841231849369718</v>
      </c>
      <c r="D83" s="37">
        <f t="shared" si="15"/>
        <v>4.4396681749622928</v>
      </c>
      <c r="E83" s="37">
        <f t="shared" si="15"/>
        <v>4.3883161512027495</v>
      </c>
      <c r="F83" s="37">
        <f t="shared" si="15"/>
        <v>4.2846756949394154</v>
      </c>
      <c r="G83" s="37">
        <f t="shared" si="15"/>
        <v>4.2990430622009566</v>
      </c>
      <c r="H83" s="37">
        <f t="shared" si="15"/>
        <v>4.7479315263908699</v>
      </c>
      <c r="I83" s="37">
        <f t="shared" si="15"/>
        <v>4.8008631319358814</v>
      </c>
      <c r="J83" s="37">
        <f t="shared" si="15"/>
        <v>4.8331545703730185</v>
      </c>
      <c r="K83" s="37">
        <f t="shared" si="15"/>
        <v>4.9750897666068221</v>
      </c>
      <c r="L83" s="37">
        <f t="shared" si="15"/>
        <v>5.0020270991144775</v>
      </c>
      <c r="M83" s="37">
        <f t="shared" si="15"/>
        <v>5.114523568455394</v>
      </c>
      <c r="N83" s="37">
        <f t="shared" si="10"/>
        <v>4.6670644643460628</v>
      </c>
    </row>
    <row r="84" spans="1:14" s="29" customFormat="1" ht="18" hidden="1" x14ac:dyDescent="0.25">
      <c r="A84" s="31">
        <v>2009</v>
      </c>
      <c r="B84" s="37">
        <f t="shared" si="5"/>
        <v>4.7737704918032788</v>
      </c>
      <c r="C84" s="37">
        <f t="shared" ref="C84:M84" si="16">SUM(C61/C38)</f>
        <v>4.9253623188405795</v>
      </c>
      <c r="D84" s="37">
        <f t="shared" si="16"/>
        <v>4.8501187893812618</v>
      </c>
      <c r="E84" s="37">
        <f t="shared" si="16"/>
        <v>4.5690035484799081</v>
      </c>
      <c r="F84" s="37">
        <f t="shared" si="16"/>
        <v>4.9088287930005965</v>
      </c>
      <c r="G84" s="37">
        <f t="shared" si="16"/>
        <v>4.7978025872762711</v>
      </c>
      <c r="H84" s="37">
        <f t="shared" si="16"/>
        <v>4.4980795083541389</v>
      </c>
      <c r="I84" s="37">
        <f t="shared" si="16"/>
        <v>4.3809406246142455</v>
      </c>
      <c r="J84" s="37">
        <f t="shared" si="16"/>
        <v>4.7711045237788374</v>
      </c>
      <c r="K84" s="37">
        <f t="shared" si="16"/>
        <v>4.2670118343195265</v>
      </c>
      <c r="L84" s="37">
        <f t="shared" si="16"/>
        <v>4.7479496992892294</v>
      </c>
      <c r="M84" s="37">
        <f t="shared" si="16"/>
        <v>4.5708521243769287</v>
      </c>
      <c r="N84" s="37">
        <f t="shared" si="10"/>
        <v>4.6749206941593577</v>
      </c>
    </row>
    <row r="85" spans="1:14" s="29" customFormat="1" ht="18" hidden="1" x14ac:dyDescent="0.25">
      <c r="A85" s="31">
        <v>2008</v>
      </c>
      <c r="B85" s="37">
        <f t="shared" si="5"/>
        <v>4.8617781422045212</v>
      </c>
      <c r="C85" s="37">
        <f t="shared" ref="C85:M85" si="17">SUM(C62/C39)</f>
        <v>5.1852414211964772</v>
      </c>
      <c r="D85" s="37">
        <f t="shared" si="17"/>
        <v>4.9286176008865086</v>
      </c>
      <c r="E85" s="37">
        <f t="shared" si="17"/>
        <v>4.7467690917306822</v>
      </c>
      <c r="F85" s="37">
        <f t="shared" si="17"/>
        <v>4.4917727413846631</v>
      </c>
      <c r="G85" s="37">
        <f t="shared" si="17"/>
        <v>4.3107486865148861</v>
      </c>
      <c r="H85" s="37">
        <f t="shared" si="17"/>
        <v>4.224884167702565</v>
      </c>
      <c r="I85" s="37">
        <f t="shared" si="17"/>
        <v>3.8360771401693321</v>
      </c>
      <c r="J85" s="37">
        <f t="shared" si="17"/>
        <v>3.9323653037829578</v>
      </c>
      <c r="K85" s="37">
        <f t="shared" si="17"/>
        <v>4.1740968485780172</v>
      </c>
      <c r="L85" s="37">
        <f t="shared" si="17"/>
        <v>3.8330676020408165</v>
      </c>
      <c r="M85" s="37">
        <f t="shared" si="17"/>
        <v>4.1921586858825348</v>
      </c>
      <c r="N85" s="37">
        <f t="shared" si="10"/>
        <v>4.4444031131967492</v>
      </c>
    </row>
    <row r="86" spans="1:14" s="29" customFormat="1" ht="18" hidden="1" x14ac:dyDescent="0.25">
      <c r="A86" s="31">
        <v>2007</v>
      </c>
      <c r="B86" s="37">
        <f t="shared" si="5"/>
        <v>4.9833485212492752</v>
      </c>
      <c r="C86" s="37">
        <f t="shared" ref="C86:M86" si="18">SUM(C63/C40)</f>
        <v>5.1755406142104308</v>
      </c>
      <c r="D86" s="37">
        <f t="shared" si="18"/>
        <v>5.1635072879691863</v>
      </c>
      <c r="E86" s="37">
        <f t="shared" si="18"/>
        <v>5.1776434057852594</v>
      </c>
      <c r="F86" s="37">
        <f t="shared" si="18"/>
        <v>5.2569378744875435</v>
      </c>
      <c r="G86" s="37">
        <f t="shared" si="18"/>
        <v>5.0490225563909776</v>
      </c>
      <c r="H86" s="37">
        <f t="shared" si="18"/>
        <v>5.1399347500220438</v>
      </c>
      <c r="I86" s="37">
        <f t="shared" si="18"/>
        <v>4.8825808492132525</v>
      </c>
      <c r="J86" s="37">
        <f t="shared" si="18"/>
        <v>4.9101372756071804</v>
      </c>
      <c r="K86" s="37">
        <f t="shared" si="18"/>
        <v>4.8970840480274447</v>
      </c>
      <c r="L86" s="37">
        <f t="shared" si="18"/>
        <v>5.007849293563579</v>
      </c>
      <c r="M86" s="37">
        <f t="shared" si="18"/>
        <v>5.1222658440830058</v>
      </c>
    </row>
    <row r="87" spans="1:14" s="29" customFormat="1" ht="18" hidden="1" x14ac:dyDescent="0.25">
      <c r="A87" s="31">
        <v>2006</v>
      </c>
      <c r="B87" s="37">
        <f t="shared" si="5"/>
        <v>4.8842386464826362</v>
      </c>
      <c r="C87" s="37">
        <f t="shared" ref="C87:M87" si="19">SUM(C64/C41)</f>
        <v>5.4264592769848727</v>
      </c>
      <c r="D87" s="37">
        <f t="shared" si="19"/>
        <v>5.4051453391246245</v>
      </c>
      <c r="E87" s="37">
        <f t="shared" si="19"/>
        <v>4.8062192672622759</v>
      </c>
      <c r="F87" s="37">
        <f t="shared" si="19"/>
        <v>5.4041252351518407</v>
      </c>
      <c r="G87" s="37">
        <f t="shared" si="19"/>
        <v>5.5232231583495359</v>
      </c>
      <c r="H87" s="37">
        <f t="shared" si="19"/>
        <v>5.4290148018462521</v>
      </c>
      <c r="I87" s="37">
        <f t="shared" si="19"/>
        <v>5.4859799070325383</v>
      </c>
      <c r="J87" s="37">
        <f t="shared" si="19"/>
        <v>5.60325997021347</v>
      </c>
      <c r="K87" s="37">
        <f t="shared" si="19"/>
        <v>5.6878201024327781</v>
      </c>
      <c r="L87" s="37">
        <f t="shared" si="19"/>
        <v>5.5905438551974962</v>
      </c>
      <c r="M87" s="37">
        <f t="shared" si="19"/>
        <v>5.2975116640746505</v>
      </c>
    </row>
    <row r="88" spans="1:14" s="29" customFormat="1" ht="18" hidden="1" x14ac:dyDescent="0.25">
      <c r="A88" s="31">
        <v>2005</v>
      </c>
      <c r="B88" s="37">
        <f t="shared" si="5"/>
        <v>4.9620587264929066</v>
      </c>
      <c r="C88" s="37">
        <f t="shared" ref="C88:M88" si="20">SUM(C65/C42)</f>
        <v>5.1873299991225759</v>
      </c>
      <c r="D88" s="37">
        <f t="shared" si="20"/>
        <v>5.39744966442953</v>
      </c>
      <c r="E88" s="37">
        <f t="shared" si="20"/>
        <v>5.4638089587659451</v>
      </c>
      <c r="F88" s="37">
        <f t="shared" si="20"/>
        <v>5.2545787545787546</v>
      </c>
      <c r="G88" s="37">
        <f t="shared" si="20"/>
        <v>5.5926936385413892</v>
      </c>
      <c r="H88" s="37">
        <f t="shared" si="20"/>
        <v>5.4756885413124792</v>
      </c>
      <c r="I88" s="37">
        <f t="shared" si="20"/>
        <v>5.5908807773763547</v>
      </c>
      <c r="J88" s="37">
        <f t="shared" si="20"/>
        <v>5.4586407766990295</v>
      </c>
      <c r="K88" s="37">
        <f t="shared" si="20"/>
        <v>5.2654832604581348</v>
      </c>
      <c r="L88" s="37">
        <f t="shared" si="20"/>
        <v>5.1274024172775903</v>
      </c>
      <c r="M88" s="37">
        <f t="shared" si="20"/>
        <v>5.4187952465510172</v>
      </c>
    </row>
    <row r="89" spans="1:14" s="29" customFormat="1" ht="18" hidden="1" x14ac:dyDescent="0.25">
      <c r="A89" s="31">
        <v>2004</v>
      </c>
      <c r="B89" s="37">
        <f t="shared" si="5"/>
        <v>4.6463467358408996</v>
      </c>
      <c r="C89" s="37">
        <f t="shared" ref="C89:M89" si="21">SUM(C66/C43)</f>
        <v>5.0314334406362429</v>
      </c>
      <c r="D89" s="37">
        <f t="shared" si="21"/>
        <v>5.0432834742394679</v>
      </c>
      <c r="E89" s="37">
        <f t="shared" si="21"/>
        <v>5.7099757428744695</v>
      </c>
      <c r="F89" s="37">
        <f t="shared" si="21"/>
        <v>5.4690640703517586</v>
      </c>
      <c r="G89" s="37">
        <f t="shared" si="21"/>
        <v>5.1197238237596983</v>
      </c>
      <c r="H89" s="37">
        <f t="shared" si="21"/>
        <v>5.0597097333964349</v>
      </c>
      <c r="I89" s="37">
        <f t="shared" si="21"/>
        <v>5.0525063330006912</v>
      </c>
      <c r="J89" s="37">
        <f t="shared" si="21"/>
        <v>5.1941715782580227</v>
      </c>
      <c r="K89" s="37">
        <f t="shared" si="21"/>
        <v>5.5354498255170652</v>
      </c>
      <c r="L89" s="37">
        <f t="shared" si="21"/>
        <v>5.2090502003299548</v>
      </c>
      <c r="M89" s="37">
        <f t="shared" si="21"/>
        <v>5.268542002920606</v>
      </c>
    </row>
    <row r="90" spans="1:14" s="29" customFormat="1" ht="18" hidden="1" x14ac:dyDescent="0.25">
      <c r="A90" s="31">
        <v>2003</v>
      </c>
      <c r="B90" s="37">
        <f t="shared" si="5"/>
        <v>5.0002714440825189</v>
      </c>
      <c r="C90" s="37">
        <f t="shared" ref="C90:M90" si="22">SUM(C67/C44)</f>
        <v>4.8332189901207467</v>
      </c>
      <c r="D90" s="37">
        <f t="shared" si="22"/>
        <v>5.1057332528666262</v>
      </c>
      <c r="E90" s="37">
        <f t="shared" si="22"/>
        <v>5.2540620384047267</v>
      </c>
      <c r="F90" s="37">
        <f t="shared" si="22"/>
        <v>5.1555884092253104</v>
      </c>
      <c r="G90" s="37">
        <f t="shared" si="22"/>
        <v>5.3111644134321851</v>
      </c>
      <c r="H90" s="37">
        <f t="shared" si="22"/>
        <v>5.6287890100044793</v>
      </c>
      <c r="I90" s="37">
        <f t="shared" si="22"/>
        <v>5.2692346173086539</v>
      </c>
      <c r="J90" s="37">
        <f t="shared" si="22"/>
        <v>4.7776040543454821</v>
      </c>
      <c r="K90" s="37">
        <f t="shared" si="22"/>
        <v>4.0376644907263497</v>
      </c>
      <c r="L90" s="37">
        <f t="shared" si="22"/>
        <v>4.1370226979427613</v>
      </c>
      <c r="M90" s="37">
        <f t="shared" si="22"/>
        <v>4.7385282702990636</v>
      </c>
    </row>
    <row r="91" spans="1:14" s="29" customFormat="1" ht="18" hidden="1" x14ac:dyDescent="0.25">
      <c r="A91" s="31">
        <v>2002</v>
      </c>
      <c r="B91" s="37">
        <f t="shared" si="5"/>
        <v>4.0915364150315927</v>
      </c>
      <c r="C91" s="37">
        <f t="shared" ref="C91:M91" si="23">SUM(C68/C45)</f>
        <v>3.6811402827404072</v>
      </c>
      <c r="D91" s="37">
        <f t="shared" si="23"/>
        <v>3.913980918037713</v>
      </c>
      <c r="E91" s="37">
        <f t="shared" si="23"/>
        <v>3.7819915890657856</v>
      </c>
      <c r="F91" s="37">
        <f t="shared" si="23"/>
        <v>3.5302008608321378</v>
      </c>
      <c r="G91" s="37">
        <f t="shared" si="23"/>
        <v>3.7301803607214428</v>
      </c>
      <c r="H91" s="37">
        <f t="shared" si="23"/>
        <v>4.1054160125588695</v>
      </c>
      <c r="I91" s="37">
        <f t="shared" si="23"/>
        <v>4.6872522593943238</v>
      </c>
      <c r="J91" s="37">
        <f t="shared" si="23"/>
        <v>4.6374125067302518</v>
      </c>
      <c r="K91" s="38">
        <f t="shared" si="23"/>
        <v>4.7854554240154625</v>
      </c>
      <c r="L91" s="38">
        <f t="shared" si="23"/>
        <v>4.7979771269914719</v>
      </c>
      <c r="M91" s="37">
        <f t="shared" si="23"/>
        <v>4.6416051400552334</v>
      </c>
    </row>
    <row r="92" spans="1:14" s="29" customFormat="1" ht="18" hidden="1" x14ac:dyDescent="0.25">
      <c r="A92" s="31">
        <v>2001</v>
      </c>
      <c r="B92" s="37">
        <f t="shared" si="5"/>
        <v>3.7399920729290526</v>
      </c>
      <c r="C92" s="37">
        <f t="shared" ref="C92:M92" si="24">SUM(C69/C46)</f>
        <v>4.260555196901227</v>
      </c>
      <c r="D92" s="37">
        <f t="shared" si="24"/>
        <v>4.2579792441746624</v>
      </c>
      <c r="E92" s="37">
        <f t="shared" si="24"/>
        <v>4.2567301378857518</v>
      </c>
      <c r="F92" s="37">
        <f t="shared" si="24"/>
        <v>4.1148148148148147</v>
      </c>
      <c r="G92" s="37">
        <f t="shared" si="24"/>
        <v>4.210544017489279</v>
      </c>
      <c r="H92" s="37">
        <f t="shared" si="24"/>
        <v>3.8714495381162046</v>
      </c>
      <c r="I92" s="37">
        <f t="shared" si="24"/>
        <v>3.868869344742889</v>
      </c>
      <c r="J92" s="37">
        <f t="shared" si="24"/>
        <v>4.0215848610289768</v>
      </c>
      <c r="K92" s="38">
        <f t="shared" si="24"/>
        <v>4.3496216390275322</v>
      </c>
      <c r="L92" s="38">
        <f t="shared" si="24"/>
        <v>4.7335942704863427</v>
      </c>
      <c r="M92" s="37">
        <f t="shared" si="24"/>
        <v>4.7580434427568186</v>
      </c>
    </row>
    <row r="93" spans="1:14" s="39" customFormat="1" ht="18" hidden="1" x14ac:dyDescent="0.25">
      <c r="A93" s="31">
        <v>2000</v>
      </c>
      <c r="B93" s="37">
        <f t="shared" si="5"/>
        <v>3.0806646120862924</v>
      </c>
      <c r="C93" s="37">
        <f t="shared" ref="C93:M93" si="25">SUM(C70/C47)</f>
        <v>3.3720795240168338</v>
      </c>
      <c r="D93" s="37">
        <f t="shared" si="25"/>
        <v>3.1106736192401829</v>
      </c>
      <c r="E93" s="37">
        <f t="shared" si="25"/>
        <v>3.345173643206127</v>
      </c>
      <c r="F93" s="37">
        <f t="shared" si="25"/>
        <v>3.3868952847519904</v>
      </c>
      <c r="G93" s="37">
        <f t="shared" si="25"/>
        <v>3.2457423580786027</v>
      </c>
      <c r="H93" s="37">
        <f t="shared" si="25"/>
        <v>3.6201085404170237</v>
      </c>
      <c r="I93" s="37">
        <f t="shared" si="25"/>
        <v>3.2394288244410006</v>
      </c>
      <c r="J93" s="37">
        <f t="shared" si="25"/>
        <v>3.3990713272281696</v>
      </c>
      <c r="K93" s="38">
        <f t="shared" si="25"/>
        <v>3.3579201934703748</v>
      </c>
      <c r="L93" s="38">
        <f t="shared" si="25"/>
        <v>3.2218114602587802</v>
      </c>
      <c r="M93" s="37">
        <f t="shared" si="25"/>
        <v>3.5518943436499466</v>
      </c>
      <c r="N93" s="29"/>
    </row>
    <row r="94" spans="1:14" s="24" customFormat="1" ht="18" hidden="1" x14ac:dyDescent="0.25">
      <c r="A94" s="31">
        <v>1999</v>
      </c>
      <c r="B94" s="37">
        <f t="shared" si="5"/>
        <v>3.0926661849710984</v>
      </c>
      <c r="C94" s="37">
        <f t="shared" ref="C94:M94" si="26">SUM(C71/C48)</f>
        <v>3.0622596743843573</v>
      </c>
      <c r="D94" s="37">
        <f t="shared" si="26"/>
        <v>3.10802561048243</v>
      </c>
      <c r="E94" s="37">
        <f t="shared" si="26"/>
        <v>3.0026815813668404</v>
      </c>
      <c r="F94" s="37">
        <f t="shared" si="26"/>
        <v>3.0701798834557894</v>
      </c>
      <c r="G94" s="37">
        <f t="shared" si="26"/>
        <v>3.3244400820915501</v>
      </c>
      <c r="H94" s="37">
        <f t="shared" si="26"/>
        <v>3.2506267991456959</v>
      </c>
      <c r="I94" s="37">
        <f t="shared" si="26"/>
        <v>3.3530340404538728</v>
      </c>
      <c r="J94" s="37">
        <f t="shared" si="26"/>
        <v>3.4110307835820897</v>
      </c>
      <c r="K94" s="38">
        <f t="shared" si="26"/>
        <v>3.4896320268488554</v>
      </c>
      <c r="L94" s="38">
        <f t="shared" si="26"/>
        <v>3.3668959296425753</v>
      </c>
      <c r="M94" s="37">
        <f t="shared" si="26"/>
        <v>3.2793095718448777</v>
      </c>
      <c r="N94" s="29"/>
    </row>
    <row r="95" spans="1:14" s="24" customFormat="1" ht="18" x14ac:dyDescent="0.25">
      <c r="A95" s="31"/>
      <c r="B95" s="37"/>
      <c r="C95" s="37"/>
      <c r="D95" s="37"/>
      <c r="E95" s="37"/>
      <c r="F95" s="37"/>
      <c r="G95" s="37"/>
      <c r="H95" s="37"/>
      <c r="I95" s="37"/>
      <c r="J95" s="37"/>
      <c r="K95" s="38"/>
      <c r="L95" s="38"/>
      <c r="M95" s="37"/>
      <c r="N95" s="29"/>
    </row>
    <row r="96" spans="1:14" s="24" customFormat="1" ht="18" x14ac:dyDescent="0.25">
      <c r="A96" s="39" t="s">
        <v>151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8"/>
      <c r="L96" s="157"/>
      <c r="M96" s="157"/>
      <c r="N96" s="39"/>
    </row>
    <row r="97" spans="2:13" s="24" customFormat="1" x14ac:dyDescent="0.2">
      <c r="J97" s="26"/>
      <c r="K97" s="26"/>
      <c r="L97" s="26"/>
      <c r="M97" s="26"/>
    </row>
    <row r="98" spans="2:13" s="24" customFormat="1" x14ac:dyDescent="0.2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2:13" s="24" customFormat="1" x14ac:dyDescent="0.2"/>
    <row r="100" spans="2:13" s="24" customFormat="1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2:13" s="24" customFormat="1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2:13" s="24" customFormat="1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2:13" s="24" customFormat="1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2:13" s="24" customFormat="1" x14ac:dyDescent="0.2"/>
    <row r="105" spans="2:13" s="24" customFormat="1" x14ac:dyDescent="0.2"/>
    <row r="106" spans="2:13" s="24" customFormat="1" x14ac:dyDescent="0.2"/>
    <row r="107" spans="2:13" s="24" customFormat="1" x14ac:dyDescent="0.2"/>
    <row r="108" spans="2:13" s="24" customFormat="1" x14ac:dyDescent="0.2"/>
    <row r="109" spans="2:13" s="24" customFormat="1" x14ac:dyDescent="0.2"/>
    <row r="110" spans="2:13" s="24" customFormat="1" x14ac:dyDescent="0.2"/>
    <row r="111" spans="2:13" s="24" customFormat="1" x14ac:dyDescent="0.2"/>
    <row r="112" spans="2:13" s="24" customFormat="1" x14ac:dyDescent="0.2"/>
    <row r="113" spans="1:14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</sheetData>
  <phoneticPr fontId="12" type="noConversion"/>
  <pageMargins left="0.5" right="0.5" top="0.5" bottom="0.5" header="0.5" footer="0.5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AN392"/>
  <sheetViews>
    <sheetView defaultGridColor="0" colorId="22" zoomScale="87" workbookViewId="0"/>
  </sheetViews>
  <sheetFormatPr defaultColWidth="9.77734375" defaultRowHeight="15" x14ac:dyDescent="0.2"/>
  <cols>
    <col min="1" max="1" width="20.77734375" customWidth="1"/>
    <col min="14" max="14" width="20.77734375" customWidth="1"/>
  </cols>
  <sheetData>
    <row r="1" spans="1:2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6" spans="1:29" ht="15.75" thickBot="1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3" t="s">
        <v>23</v>
      </c>
      <c r="V6" s="3" t="s">
        <v>24</v>
      </c>
      <c r="W6" s="3" t="s">
        <v>25</v>
      </c>
      <c r="X6" s="3" t="s">
        <v>26</v>
      </c>
      <c r="Y6" s="3" t="s">
        <v>27</v>
      </c>
      <c r="Z6" s="3" t="s">
        <v>28</v>
      </c>
      <c r="AA6" s="3" t="s">
        <v>29</v>
      </c>
      <c r="AB6" s="3" t="s">
        <v>30</v>
      </c>
      <c r="AC6" s="3" t="s">
        <v>31</v>
      </c>
    </row>
    <row r="8" spans="1:29" x14ac:dyDescent="0.2">
      <c r="A8" s="4" t="s">
        <v>32</v>
      </c>
      <c r="B8" s="5">
        <v>150976</v>
      </c>
      <c r="C8" s="5">
        <v>195192</v>
      </c>
      <c r="D8" s="5">
        <v>248822</v>
      </c>
      <c r="E8" s="5">
        <v>257710</v>
      </c>
      <c r="F8" s="5">
        <v>22932</v>
      </c>
      <c r="G8" s="5">
        <v>20916</v>
      </c>
      <c r="H8" s="5">
        <v>26799</v>
      </c>
      <c r="I8" s="5">
        <v>22144</v>
      </c>
      <c r="J8" s="5">
        <v>22465</v>
      </c>
      <c r="K8" s="5">
        <v>21225</v>
      </c>
      <c r="L8" s="5">
        <v>28017</v>
      </c>
      <c r="M8" s="5">
        <v>21645</v>
      </c>
      <c r="N8" s="5">
        <v>18857</v>
      </c>
      <c r="O8" s="5">
        <v>18018</v>
      </c>
      <c r="P8" s="5">
        <v>16626</v>
      </c>
      <c r="Q8" s="5">
        <v>17666</v>
      </c>
      <c r="R8" s="5">
        <v>14999</v>
      </c>
      <c r="S8" s="5">
        <v>13574</v>
      </c>
      <c r="T8" s="5">
        <v>16658</v>
      </c>
      <c r="U8" s="5">
        <v>15453</v>
      </c>
      <c r="V8" s="5">
        <v>17593</v>
      </c>
      <c r="W8" s="2"/>
      <c r="X8" s="2"/>
      <c r="Y8" s="2"/>
      <c r="Z8" s="2"/>
      <c r="AA8" s="2"/>
      <c r="AB8" s="2"/>
      <c r="AC8" s="2"/>
    </row>
    <row r="9" spans="1:29" x14ac:dyDescent="0.2">
      <c r="A9" s="4" t="s">
        <v>33</v>
      </c>
      <c r="B9" s="5">
        <v>261110</v>
      </c>
      <c r="C9" s="5">
        <v>376583</v>
      </c>
      <c r="D9" s="5">
        <v>437836</v>
      </c>
      <c r="E9" s="5">
        <v>446234</v>
      </c>
      <c r="F9" s="5">
        <v>52347</v>
      </c>
      <c r="G9" s="5">
        <v>38172</v>
      </c>
      <c r="H9" s="5">
        <v>49008</v>
      </c>
      <c r="I9" s="5">
        <v>43037</v>
      </c>
      <c r="J9" s="5">
        <v>40194</v>
      </c>
      <c r="K9" s="5">
        <v>34939</v>
      </c>
      <c r="L9" s="5">
        <v>28617</v>
      </c>
      <c r="M9" s="5">
        <v>37263</v>
      </c>
      <c r="N9" s="5">
        <v>32460</v>
      </c>
      <c r="O9" s="5">
        <v>32651</v>
      </c>
      <c r="P9" s="5">
        <v>28494</v>
      </c>
      <c r="Q9" s="5">
        <v>28362</v>
      </c>
      <c r="R9" s="5">
        <v>27834</v>
      </c>
      <c r="S9" s="5">
        <v>19576</v>
      </c>
      <c r="T9" s="5">
        <v>27109</v>
      </c>
      <c r="U9" s="5">
        <v>29761</v>
      </c>
      <c r="V9" s="5">
        <v>29109</v>
      </c>
      <c r="W9" s="2"/>
      <c r="X9" s="2"/>
      <c r="Y9" s="2"/>
      <c r="Z9" s="2"/>
      <c r="AA9" s="2"/>
      <c r="AB9" s="2"/>
      <c r="AC9" s="2"/>
    </row>
    <row r="10" spans="1:29" x14ac:dyDescent="0.2">
      <c r="A10" s="4" t="s">
        <v>34</v>
      </c>
      <c r="B10" s="5">
        <v>30328</v>
      </c>
      <c r="C10" s="5">
        <v>28664</v>
      </c>
      <c r="D10" s="5">
        <v>27824</v>
      </c>
      <c r="E10" s="5">
        <v>26304</v>
      </c>
      <c r="F10" s="5">
        <v>1272</v>
      </c>
      <c r="G10" s="5">
        <v>1936</v>
      </c>
      <c r="H10" s="5">
        <v>2232</v>
      </c>
      <c r="I10" s="5">
        <v>1928</v>
      </c>
      <c r="J10" s="5">
        <v>2408</v>
      </c>
      <c r="K10" s="5">
        <v>2704</v>
      </c>
      <c r="L10" s="5">
        <v>2832</v>
      </c>
      <c r="M10" s="5">
        <v>3440</v>
      </c>
      <c r="N10" s="5">
        <v>2368</v>
      </c>
      <c r="O10" s="5">
        <v>1632</v>
      </c>
      <c r="P10" s="5">
        <v>1688</v>
      </c>
      <c r="Q10" s="5">
        <v>1864</v>
      </c>
      <c r="R10" s="5">
        <v>1432</v>
      </c>
      <c r="S10" s="5">
        <v>1712</v>
      </c>
      <c r="T10" s="5">
        <v>1960</v>
      </c>
      <c r="U10" s="5">
        <v>1888</v>
      </c>
      <c r="V10" s="5">
        <v>2248</v>
      </c>
      <c r="W10" s="2"/>
      <c r="X10" s="2"/>
      <c r="Y10" s="2"/>
      <c r="Z10" s="2"/>
      <c r="AA10" s="2"/>
      <c r="AB10" s="2"/>
      <c r="AC10" s="2"/>
    </row>
    <row r="11" spans="1:29" x14ac:dyDescent="0.2">
      <c r="A11" s="4" t="s">
        <v>35</v>
      </c>
      <c r="B11" s="5">
        <f t="shared" ref="B11:V11" si="0">SUM(B8:B10)</f>
        <v>442414</v>
      </c>
      <c r="C11" s="5">
        <f t="shared" si="0"/>
        <v>600439</v>
      </c>
      <c r="D11" s="5">
        <f t="shared" si="0"/>
        <v>714482</v>
      </c>
      <c r="E11" s="5">
        <f t="shared" si="0"/>
        <v>730248</v>
      </c>
      <c r="F11" s="5">
        <f t="shared" si="0"/>
        <v>76551</v>
      </c>
      <c r="G11" s="5">
        <f t="shared" si="0"/>
        <v>61024</v>
      </c>
      <c r="H11" s="5">
        <f t="shared" si="0"/>
        <v>78039</v>
      </c>
      <c r="I11" s="5">
        <f t="shared" si="0"/>
        <v>67109</v>
      </c>
      <c r="J11" s="5">
        <f t="shared" si="0"/>
        <v>65067</v>
      </c>
      <c r="K11" s="5">
        <f t="shared" si="0"/>
        <v>58868</v>
      </c>
      <c r="L11" s="5">
        <f t="shared" si="0"/>
        <v>59466</v>
      </c>
      <c r="M11" s="5">
        <f t="shared" si="0"/>
        <v>62348</v>
      </c>
      <c r="N11" s="5">
        <f t="shared" si="0"/>
        <v>53685</v>
      </c>
      <c r="O11" s="5">
        <f t="shared" si="0"/>
        <v>52301</v>
      </c>
      <c r="P11" s="5">
        <f t="shared" si="0"/>
        <v>46808</v>
      </c>
      <c r="Q11" s="5">
        <f t="shared" si="0"/>
        <v>47892</v>
      </c>
      <c r="R11" s="5">
        <f t="shared" si="0"/>
        <v>44265</v>
      </c>
      <c r="S11" s="5">
        <f t="shared" si="0"/>
        <v>34862</v>
      </c>
      <c r="T11" s="5">
        <f t="shared" si="0"/>
        <v>45727</v>
      </c>
      <c r="U11" s="5">
        <f t="shared" si="0"/>
        <v>47102</v>
      </c>
      <c r="V11" s="5">
        <f t="shared" si="0"/>
        <v>48950</v>
      </c>
      <c r="W11" s="2"/>
      <c r="X11" s="2"/>
      <c r="Y11" s="2"/>
      <c r="Z11" s="2"/>
      <c r="AA11" s="2"/>
      <c r="AB11" s="2"/>
      <c r="AC11" s="2"/>
    </row>
    <row r="13" spans="1:29" x14ac:dyDescent="0.2">
      <c r="A13" s="4" t="s">
        <v>36</v>
      </c>
      <c r="B13" s="5">
        <v>60436</v>
      </c>
      <c r="C13" s="5">
        <v>83264</v>
      </c>
      <c r="D13" s="5">
        <v>103234</v>
      </c>
      <c r="E13" s="5">
        <v>108535</v>
      </c>
      <c r="F13" s="5">
        <v>10204</v>
      </c>
      <c r="G13" s="5">
        <v>9047</v>
      </c>
      <c r="H13" s="5">
        <v>11588</v>
      </c>
      <c r="I13" s="5">
        <v>9627</v>
      </c>
      <c r="J13" s="5">
        <v>9355</v>
      </c>
      <c r="K13" s="5">
        <v>8796</v>
      </c>
      <c r="L13" s="5">
        <v>11989</v>
      </c>
      <c r="M13" s="5">
        <v>8484</v>
      </c>
      <c r="N13" s="5">
        <v>7728</v>
      </c>
      <c r="O13" s="5">
        <v>7604</v>
      </c>
      <c r="P13" s="5">
        <v>6837</v>
      </c>
      <c r="Q13" s="5">
        <v>7276</v>
      </c>
      <c r="R13" s="2">
        <v>6260</v>
      </c>
      <c r="S13" s="2">
        <v>5394</v>
      </c>
      <c r="T13" s="2">
        <v>6806</v>
      </c>
      <c r="U13" s="2">
        <v>6190</v>
      </c>
      <c r="V13" s="2">
        <v>7134</v>
      </c>
      <c r="W13" s="2"/>
      <c r="X13" s="2"/>
      <c r="Y13" s="2"/>
      <c r="Z13" s="2"/>
      <c r="AA13" s="2"/>
      <c r="AB13" s="2"/>
      <c r="AC13" s="2"/>
    </row>
    <row r="14" spans="1:29" x14ac:dyDescent="0.2">
      <c r="A14" s="4" t="s">
        <v>37</v>
      </c>
      <c r="B14" s="5">
        <v>3771</v>
      </c>
      <c r="C14" s="5">
        <v>3581</v>
      </c>
      <c r="D14" s="5">
        <v>3475</v>
      </c>
      <c r="E14" s="5">
        <v>3255</v>
      </c>
      <c r="F14" s="5">
        <v>183</v>
      </c>
      <c r="G14" s="5">
        <v>244</v>
      </c>
      <c r="H14" s="5">
        <v>273</v>
      </c>
      <c r="I14" s="5">
        <v>241</v>
      </c>
      <c r="J14" s="5">
        <v>300</v>
      </c>
      <c r="K14" s="5">
        <v>327</v>
      </c>
      <c r="L14" s="5">
        <v>347</v>
      </c>
      <c r="M14" s="5">
        <v>407</v>
      </c>
      <c r="N14" s="5">
        <v>291</v>
      </c>
      <c r="O14" s="5">
        <v>203</v>
      </c>
      <c r="P14" s="5">
        <v>223</v>
      </c>
      <c r="Q14" s="5">
        <v>215</v>
      </c>
      <c r="R14" s="2">
        <v>184</v>
      </c>
      <c r="S14" s="2">
        <v>223</v>
      </c>
      <c r="T14" s="2">
        <v>241</v>
      </c>
      <c r="U14" s="2">
        <v>234</v>
      </c>
      <c r="V14" s="2">
        <v>302</v>
      </c>
      <c r="W14" s="2">
        <v>345</v>
      </c>
      <c r="X14" s="2">
        <v>373</v>
      </c>
      <c r="Y14" s="2">
        <v>429</v>
      </c>
      <c r="Z14" s="2">
        <v>228</v>
      </c>
      <c r="AA14" s="2"/>
      <c r="AB14" s="2"/>
      <c r="AC14" s="2"/>
    </row>
    <row r="16" spans="1:29" x14ac:dyDescent="0.2">
      <c r="A16" s="4" t="s">
        <v>38</v>
      </c>
      <c r="B16" s="2">
        <v>4</v>
      </c>
      <c r="C16" s="2">
        <v>4</v>
      </c>
      <c r="D16" s="2">
        <v>4</v>
      </c>
      <c r="E16" s="2">
        <v>5</v>
      </c>
      <c r="F16" s="2">
        <v>5</v>
      </c>
      <c r="G16" s="2">
        <v>5</v>
      </c>
      <c r="H16" s="2">
        <v>5</v>
      </c>
      <c r="I16" s="2">
        <v>5</v>
      </c>
      <c r="J16" s="2">
        <v>5</v>
      </c>
      <c r="K16" s="2">
        <v>5</v>
      </c>
      <c r="L16" s="2">
        <v>5</v>
      </c>
      <c r="M16" s="2">
        <v>5</v>
      </c>
      <c r="N16" s="2">
        <v>5</v>
      </c>
      <c r="O16" s="2">
        <v>5</v>
      </c>
      <c r="P16" s="2">
        <v>5</v>
      </c>
      <c r="Q16" s="2">
        <v>5</v>
      </c>
      <c r="R16" s="2">
        <v>5</v>
      </c>
      <c r="S16" s="2">
        <v>5</v>
      </c>
      <c r="T16" s="2">
        <v>4</v>
      </c>
      <c r="U16" s="2">
        <v>4</v>
      </c>
      <c r="V16" s="2">
        <v>4</v>
      </c>
      <c r="W16" s="2">
        <v>4</v>
      </c>
      <c r="X16" s="2">
        <v>4</v>
      </c>
      <c r="Y16" s="2">
        <v>4</v>
      </c>
      <c r="Z16" s="2">
        <v>4</v>
      </c>
      <c r="AA16" s="2">
        <v>5</v>
      </c>
      <c r="AB16" s="2"/>
      <c r="AC16" s="2"/>
    </row>
    <row r="17" spans="1:22" x14ac:dyDescent="0.2">
      <c r="A17" s="4" t="s">
        <v>39</v>
      </c>
      <c r="B17" s="2">
        <v>1.19</v>
      </c>
      <c r="C17" s="2">
        <v>1.25</v>
      </c>
      <c r="D17" s="2">
        <v>1.25</v>
      </c>
      <c r="E17" s="2">
        <v>1.25</v>
      </c>
      <c r="F17" s="2">
        <v>1.25</v>
      </c>
      <c r="G17" s="2">
        <v>1.25</v>
      </c>
      <c r="H17" s="2">
        <v>1.25</v>
      </c>
      <c r="I17" s="2">
        <v>1.25</v>
      </c>
      <c r="J17" s="2">
        <v>1.25</v>
      </c>
      <c r="K17" s="2">
        <v>1.25</v>
      </c>
      <c r="L17" s="2">
        <v>1.25</v>
      </c>
      <c r="M17" s="2">
        <v>1.25</v>
      </c>
      <c r="N17" s="2">
        <v>1.25</v>
      </c>
      <c r="O17" s="2">
        <v>1.25</v>
      </c>
      <c r="P17" s="2">
        <v>1.25</v>
      </c>
      <c r="Q17" s="2">
        <v>1.25</v>
      </c>
      <c r="R17" s="2">
        <v>1.25</v>
      </c>
      <c r="S17" s="2">
        <v>1.25</v>
      </c>
      <c r="T17" s="2">
        <v>1.25</v>
      </c>
      <c r="U17" s="2">
        <v>1.25</v>
      </c>
      <c r="V17" s="2">
        <v>1.25</v>
      </c>
    </row>
    <row r="19" spans="1:22" x14ac:dyDescent="0.2">
      <c r="A19" s="4" t="s">
        <v>40</v>
      </c>
      <c r="B19" s="6">
        <v>1246.27</v>
      </c>
      <c r="C19" s="6">
        <v>1355.52</v>
      </c>
      <c r="D19" s="6">
        <v>1383.56</v>
      </c>
      <c r="E19" s="6">
        <v>1318.25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">
      <c r="A20" s="4" t="s">
        <v>41</v>
      </c>
      <c r="B20" s="6">
        <v>513</v>
      </c>
      <c r="C20" s="6">
        <v>572</v>
      </c>
      <c r="D20" s="6">
        <v>720</v>
      </c>
      <c r="E20" s="6">
        <v>636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">
      <c r="A21" s="4" t="s">
        <v>42</v>
      </c>
      <c r="B21" s="6">
        <v>1281.25</v>
      </c>
      <c r="C21" s="6">
        <v>1218.75</v>
      </c>
      <c r="D21" s="6">
        <v>1106.25</v>
      </c>
      <c r="E21" s="6">
        <v>1215.55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">
      <c r="A22" s="4" t="s">
        <v>43</v>
      </c>
      <c r="B22" s="6">
        <v>341.5</v>
      </c>
      <c r="C22" s="6">
        <v>495.75</v>
      </c>
      <c r="D22" s="6">
        <v>291.5</v>
      </c>
      <c r="E22" s="6">
        <v>373.25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">
      <c r="A23" s="4" t="s">
        <v>44</v>
      </c>
      <c r="B23" s="2"/>
      <c r="C23" s="2">
        <v>746.89</v>
      </c>
      <c r="D23" s="2">
        <v>976.25</v>
      </c>
      <c r="E23" s="2">
        <v>1051.6099999999999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">
      <c r="A24" s="4" t="s">
        <v>45</v>
      </c>
      <c r="B24" s="2"/>
      <c r="C24" s="2">
        <v>449.75</v>
      </c>
      <c r="D24" s="2">
        <v>687.5</v>
      </c>
      <c r="E24" s="2">
        <v>662.47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7" spans="1:22" x14ac:dyDescent="0.2">
      <c r="A27" s="2" t="s">
        <v>46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56" spans="1:17" ht="15.75" thickBot="1" x14ac:dyDescent="0.25">
      <c r="A56" s="3" t="s">
        <v>3</v>
      </c>
      <c r="B56" s="3" t="s">
        <v>4</v>
      </c>
      <c r="C56" s="3" t="s">
        <v>5</v>
      </c>
      <c r="D56" s="3" t="s">
        <v>6</v>
      </c>
      <c r="E56" s="3" t="s">
        <v>7</v>
      </c>
      <c r="F56" s="3" t="s">
        <v>47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A57" s="4" t="s">
        <v>36</v>
      </c>
      <c r="B57" s="5">
        <v>60436</v>
      </c>
      <c r="C57" s="5">
        <v>83264</v>
      </c>
      <c r="D57" s="5">
        <v>103234</v>
      </c>
      <c r="E57" s="5">
        <v>108535</v>
      </c>
      <c r="F57" s="5">
        <v>82874</v>
      </c>
      <c r="G57" s="2"/>
      <c r="H57" s="2"/>
      <c r="I57" s="2"/>
      <c r="J57" s="2"/>
      <c r="K57" s="2"/>
      <c r="L57" s="2"/>
      <c r="M57" s="2"/>
      <c r="N57" s="5"/>
      <c r="O57" s="5"/>
      <c r="P57" s="5"/>
      <c r="Q57" s="5"/>
    </row>
    <row r="58" spans="1:17" x14ac:dyDescent="0.2">
      <c r="A58" s="4" t="s">
        <v>37</v>
      </c>
      <c r="B58" s="5">
        <v>3771</v>
      </c>
      <c r="C58" s="5">
        <v>3581</v>
      </c>
      <c r="D58" s="5">
        <v>3475</v>
      </c>
      <c r="E58" s="5">
        <v>3255</v>
      </c>
      <c r="F58" s="5">
        <v>3240</v>
      </c>
      <c r="G58" s="2"/>
      <c r="H58" s="2"/>
      <c r="I58" s="2"/>
      <c r="J58" s="2"/>
      <c r="K58" s="2"/>
      <c r="L58" s="2"/>
      <c r="M58" s="2"/>
      <c r="N58" s="5"/>
      <c r="O58" s="5"/>
      <c r="P58" s="5"/>
      <c r="Q58" s="5"/>
    </row>
    <row r="66" spans="1:2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4" t="s">
        <v>48</v>
      </c>
      <c r="R66" s="4" t="s">
        <v>49</v>
      </c>
      <c r="S66" s="4" t="s">
        <v>50</v>
      </c>
      <c r="T66" s="4" t="s">
        <v>51</v>
      </c>
      <c r="U66" s="4" t="s">
        <v>52</v>
      </c>
      <c r="V66" s="4" t="s">
        <v>53</v>
      </c>
      <c r="W66" s="4" t="s">
        <v>54</v>
      </c>
      <c r="X66" s="4" t="s">
        <v>55</v>
      </c>
      <c r="Y66" s="4" t="s">
        <v>56</v>
      </c>
      <c r="Z66" s="4" t="s">
        <v>57</v>
      </c>
      <c r="AA66" s="4" t="s">
        <v>58</v>
      </c>
      <c r="AB66" s="4" t="s">
        <v>59</v>
      </c>
    </row>
    <row r="67" spans="1:28" ht="15.75" thickBo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 t="s">
        <v>3</v>
      </c>
      <c r="Q67" s="3" t="s">
        <v>8</v>
      </c>
      <c r="R67" s="3" t="s">
        <v>9</v>
      </c>
      <c r="S67" s="3" t="s">
        <v>10</v>
      </c>
      <c r="T67" s="3" t="s">
        <v>11</v>
      </c>
      <c r="U67" s="3" t="s">
        <v>12</v>
      </c>
      <c r="V67" s="3" t="s">
        <v>13</v>
      </c>
      <c r="W67" s="3" t="s">
        <v>14</v>
      </c>
      <c r="X67" s="3" t="s">
        <v>15</v>
      </c>
      <c r="Y67" s="3" t="s">
        <v>16</v>
      </c>
      <c r="Z67" s="3" t="s">
        <v>17</v>
      </c>
      <c r="AA67" s="3" t="s">
        <v>18</v>
      </c>
      <c r="AB67" s="3" t="s">
        <v>19</v>
      </c>
    </row>
    <row r="68" spans="1:2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7" t="s">
        <v>36</v>
      </c>
      <c r="Q68" s="8">
        <v>10204</v>
      </c>
      <c r="R68" s="8">
        <v>9047</v>
      </c>
      <c r="S68" s="8">
        <v>11588</v>
      </c>
      <c r="T68" s="8">
        <v>9627</v>
      </c>
      <c r="U68" s="8">
        <v>9355</v>
      </c>
      <c r="V68" s="8">
        <v>8796</v>
      </c>
      <c r="W68" s="8">
        <v>11989</v>
      </c>
      <c r="X68" s="8">
        <v>8484</v>
      </c>
      <c r="Y68" s="8">
        <v>7728</v>
      </c>
      <c r="Z68" s="8">
        <v>7604</v>
      </c>
      <c r="AA68" s="8">
        <v>6837</v>
      </c>
      <c r="AB68" s="8">
        <v>7276</v>
      </c>
    </row>
    <row r="69" spans="1:2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4" t="s">
        <v>37</v>
      </c>
      <c r="Q69" s="5">
        <v>183</v>
      </c>
      <c r="R69" s="5">
        <v>244</v>
      </c>
      <c r="S69" s="5">
        <v>273</v>
      </c>
      <c r="T69" s="5">
        <v>241</v>
      </c>
      <c r="U69" s="5">
        <v>300</v>
      </c>
      <c r="V69" s="5">
        <v>327</v>
      </c>
      <c r="W69" s="5">
        <v>347</v>
      </c>
      <c r="X69" s="5">
        <v>407</v>
      </c>
      <c r="Y69" s="5">
        <v>291</v>
      </c>
      <c r="Z69" s="5">
        <v>203</v>
      </c>
      <c r="AA69" s="5">
        <v>223</v>
      </c>
      <c r="AB69" s="5">
        <v>215</v>
      </c>
    </row>
    <row r="70" spans="1:2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4" t="s">
        <v>60</v>
      </c>
      <c r="Q70" s="2">
        <f t="shared" ref="Q70:AB70" si="1">SUM(Q68:Q69)</f>
        <v>10387</v>
      </c>
      <c r="R70" s="2">
        <f t="shared" si="1"/>
        <v>9291</v>
      </c>
      <c r="S70" s="2">
        <f t="shared" si="1"/>
        <v>11861</v>
      </c>
      <c r="T70" s="2">
        <f t="shared" si="1"/>
        <v>9868</v>
      </c>
      <c r="U70" s="2">
        <f t="shared" si="1"/>
        <v>9655</v>
      </c>
      <c r="V70" s="2">
        <f t="shared" si="1"/>
        <v>9123</v>
      </c>
      <c r="W70" s="2">
        <f t="shared" si="1"/>
        <v>12336</v>
      </c>
      <c r="X70" s="2">
        <f t="shared" si="1"/>
        <v>8891</v>
      </c>
      <c r="Y70" s="2">
        <f t="shared" si="1"/>
        <v>8019</v>
      </c>
      <c r="Z70" s="2">
        <f t="shared" si="1"/>
        <v>7807</v>
      </c>
      <c r="AA70" s="2">
        <f t="shared" si="1"/>
        <v>7060</v>
      </c>
      <c r="AB70" s="2">
        <f t="shared" si="1"/>
        <v>7491</v>
      </c>
    </row>
    <row r="71" spans="1:28" ht="15.75" thickBo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 t="s">
        <v>20</v>
      </c>
      <c r="R71" s="3" t="s">
        <v>21</v>
      </c>
      <c r="S71" s="3" t="s">
        <v>22</v>
      </c>
      <c r="T71" s="3" t="s">
        <v>23</v>
      </c>
      <c r="U71" s="3" t="s">
        <v>24</v>
      </c>
      <c r="V71" s="3" t="s">
        <v>25</v>
      </c>
      <c r="W71" s="3" t="s">
        <v>26</v>
      </c>
      <c r="X71" s="3" t="s">
        <v>27</v>
      </c>
      <c r="Y71" s="3" t="s">
        <v>28</v>
      </c>
      <c r="Z71" s="3" t="s">
        <v>29</v>
      </c>
      <c r="AA71" s="3" t="s">
        <v>30</v>
      </c>
      <c r="AB71" s="3" t="s">
        <v>31</v>
      </c>
    </row>
    <row r="72" spans="1:2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7" t="s">
        <v>36</v>
      </c>
      <c r="Q72" s="9">
        <v>6260</v>
      </c>
      <c r="R72" s="9">
        <v>5394</v>
      </c>
      <c r="S72" s="9">
        <v>6806</v>
      </c>
      <c r="T72" s="9">
        <v>6190</v>
      </c>
      <c r="U72" s="9">
        <v>7134</v>
      </c>
      <c r="V72" s="9">
        <v>6423</v>
      </c>
      <c r="W72" s="9">
        <v>6396</v>
      </c>
      <c r="X72" s="9">
        <v>8053</v>
      </c>
      <c r="Y72" s="9">
        <v>7075</v>
      </c>
      <c r="Z72" s="9">
        <v>7924</v>
      </c>
      <c r="AA72" s="9">
        <v>7340</v>
      </c>
      <c r="AB72" s="9">
        <v>7879</v>
      </c>
    </row>
    <row r="73" spans="1:2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4" t="s">
        <v>37</v>
      </c>
      <c r="Q73" s="2">
        <v>184</v>
      </c>
      <c r="R73" s="2">
        <v>223</v>
      </c>
      <c r="S73" s="2">
        <v>241</v>
      </c>
      <c r="T73" s="2">
        <v>234</v>
      </c>
      <c r="U73" s="2">
        <v>302</v>
      </c>
      <c r="V73" s="2">
        <v>345</v>
      </c>
      <c r="W73" s="2">
        <v>373</v>
      </c>
      <c r="X73" s="2">
        <v>429</v>
      </c>
      <c r="Y73" s="2">
        <v>228</v>
      </c>
      <c r="Z73" s="2">
        <v>221</v>
      </c>
      <c r="AA73" s="2">
        <v>228</v>
      </c>
      <c r="AB73" s="2">
        <v>234</v>
      </c>
    </row>
    <row r="74" spans="1:2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4" t="s">
        <v>60</v>
      </c>
      <c r="Q74" s="2">
        <f t="shared" ref="Q74:AB74" si="2">SUM(Q72:Q73)</f>
        <v>6444</v>
      </c>
      <c r="R74" s="2">
        <f t="shared" si="2"/>
        <v>5617</v>
      </c>
      <c r="S74" s="2">
        <f t="shared" si="2"/>
        <v>7047</v>
      </c>
      <c r="T74" s="2">
        <f t="shared" si="2"/>
        <v>6424</v>
      </c>
      <c r="U74" s="2">
        <f t="shared" si="2"/>
        <v>7436</v>
      </c>
      <c r="V74" s="2">
        <f t="shared" si="2"/>
        <v>6768</v>
      </c>
      <c r="W74" s="2">
        <f t="shared" si="2"/>
        <v>6769</v>
      </c>
      <c r="X74" s="2">
        <f t="shared" si="2"/>
        <v>8482</v>
      </c>
      <c r="Y74" s="2">
        <f t="shared" si="2"/>
        <v>7303</v>
      </c>
      <c r="Z74" s="2">
        <f t="shared" si="2"/>
        <v>8145</v>
      </c>
      <c r="AA74" s="2">
        <f t="shared" si="2"/>
        <v>7568</v>
      </c>
      <c r="AB74" s="2">
        <f t="shared" si="2"/>
        <v>8113</v>
      </c>
    </row>
    <row r="81" spans="1:5" ht="15.75" thickBot="1" x14ac:dyDescent="0.25">
      <c r="A81" s="3" t="s">
        <v>3</v>
      </c>
      <c r="B81" s="3" t="s">
        <v>4</v>
      </c>
      <c r="C81" s="3" t="s">
        <v>5</v>
      </c>
      <c r="D81" s="3" t="s">
        <v>6</v>
      </c>
      <c r="E81" s="3" t="s">
        <v>7</v>
      </c>
    </row>
    <row r="82" spans="1:5" x14ac:dyDescent="0.2">
      <c r="A82" s="4" t="s">
        <v>41</v>
      </c>
      <c r="B82" s="6">
        <v>513</v>
      </c>
      <c r="C82" s="6">
        <v>572</v>
      </c>
      <c r="D82" s="6">
        <v>720</v>
      </c>
      <c r="E82" s="6">
        <v>636</v>
      </c>
    </row>
    <row r="83" spans="1:5" x14ac:dyDescent="0.2">
      <c r="A83" s="4" t="s">
        <v>43</v>
      </c>
      <c r="B83" s="6">
        <v>341.5</v>
      </c>
      <c r="C83" s="6">
        <v>495.75</v>
      </c>
      <c r="D83" s="6">
        <v>291.5</v>
      </c>
      <c r="E83" s="6">
        <v>373.25</v>
      </c>
    </row>
    <row r="84" spans="1:5" x14ac:dyDescent="0.2">
      <c r="A84" s="4" t="s">
        <v>45</v>
      </c>
      <c r="B84" s="2"/>
      <c r="C84" s="2">
        <v>449.75</v>
      </c>
      <c r="D84" s="2">
        <v>687.5</v>
      </c>
      <c r="E84" s="2">
        <v>662.47</v>
      </c>
    </row>
    <row r="110" spans="1:40" x14ac:dyDescent="0.2">
      <c r="A110" s="2"/>
      <c r="B110" s="4" t="s">
        <v>48</v>
      </c>
      <c r="C110" s="4" t="s">
        <v>49</v>
      </c>
      <c r="D110" s="4" t="s">
        <v>50</v>
      </c>
      <c r="E110" s="4" t="s">
        <v>51</v>
      </c>
      <c r="F110" s="4" t="s">
        <v>52</v>
      </c>
      <c r="G110" s="4" t="s">
        <v>53</v>
      </c>
      <c r="H110" s="4" t="s">
        <v>54</v>
      </c>
      <c r="I110" s="4" t="s">
        <v>55</v>
      </c>
      <c r="J110" s="4" t="s">
        <v>56</v>
      </c>
      <c r="K110" s="4" t="s">
        <v>57</v>
      </c>
      <c r="L110" s="4" t="s">
        <v>58</v>
      </c>
      <c r="M110" s="4" t="s">
        <v>59</v>
      </c>
      <c r="N110" s="2"/>
      <c r="O110" s="4" t="s">
        <v>48</v>
      </c>
      <c r="P110" s="4" t="s">
        <v>49</v>
      </c>
      <c r="Q110" s="4" t="s">
        <v>50</v>
      </c>
      <c r="R110" s="4" t="s">
        <v>51</v>
      </c>
      <c r="S110" s="4" t="s">
        <v>52</v>
      </c>
      <c r="T110" s="4" t="s">
        <v>53</v>
      </c>
      <c r="U110" s="4" t="s">
        <v>54</v>
      </c>
      <c r="V110" s="4" t="s">
        <v>55</v>
      </c>
      <c r="W110" s="4" t="s">
        <v>56</v>
      </c>
      <c r="X110" s="4" t="s">
        <v>57</v>
      </c>
      <c r="Y110" s="4" t="s">
        <v>58</v>
      </c>
      <c r="Z110" s="4" t="s">
        <v>59</v>
      </c>
      <c r="AA110" s="2"/>
      <c r="AB110" s="2"/>
      <c r="AC110" s="4" t="s">
        <v>48</v>
      </c>
      <c r="AD110" s="4" t="s">
        <v>49</v>
      </c>
      <c r="AE110" s="4" t="s">
        <v>50</v>
      </c>
      <c r="AF110" s="4" t="s">
        <v>51</v>
      </c>
      <c r="AG110" s="4" t="s">
        <v>52</v>
      </c>
      <c r="AH110" s="4" t="s">
        <v>53</v>
      </c>
      <c r="AI110" s="4" t="s">
        <v>54</v>
      </c>
      <c r="AJ110" s="4" t="s">
        <v>55</v>
      </c>
      <c r="AK110" s="4" t="s">
        <v>56</v>
      </c>
      <c r="AL110" s="4" t="s">
        <v>57</v>
      </c>
      <c r="AM110" s="4" t="s">
        <v>58</v>
      </c>
      <c r="AN110" s="4" t="s">
        <v>59</v>
      </c>
    </row>
    <row r="111" spans="1:40" ht="15.75" thickBot="1" x14ac:dyDescent="0.25">
      <c r="A111" s="3" t="s">
        <v>3</v>
      </c>
      <c r="B111" s="3" t="s">
        <v>8</v>
      </c>
      <c r="C111" s="3" t="s">
        <v>9</v>
      </c>
      <c r="D111" s="3" t="s">
        <v>10</v>
      </c>
      <c r="E111" s="3" t="s">
        <v>11</v>
      </c>
      <c r="F111" s="3" t="s">
        <v>12</v>
      </c>
      <c r="G111" s="3" t="s">
        <v>13</v>
      </c>
      <c r="H111" s="3" t="s">
        <v>14</v>
      </c>
      <c r="I111" s="3" t="s">
        <v>15</v>
      </c>
      <c r="J111" s="3" t="s">
        <v>16</v>
      </c>
      <c r="K111" s="3" t="s">
        <v>17</v>
      </c>
      <c r="L111" s="3" t="s">
        <v>18</v>
      </c>
      <c r="M111" s="3" t="s">
        <v>19</v>
      </c>
      <c r="N111" s="3" t="s">
        <v>3</v>
      </c>
      <c r="O111" s="3" t="s">
        <v>8</v>
      </c>
      <c r="P111" s="3" t="s">
        <v>9</v>
      </c>
      <c r="Q111" s="3" t="s">
        <v>10</v>
      </c>
      <c r="R111" s="3" t="s">
        <v>11</v>
      </c>
      <c r="S111" s="3" t="s">
        <v>12</v>
      </c>
      <c r="T111" s="3" t="s">
        <v>13</v>
      </c>
      <c r="U111" s="3" t="s">
        <v>14</v>
      </c>
      <c r="V111" s="3" t="s">
        <v>15</v>
      </c>
      <c r="W111" s="3" t="s">
        <v>16</v>
      </c>
      <c r="X111" s="3" t="s">
        <v>17</v>
      </c>
      <c r="Y111" s="3" t="s">
        <v>18</v>
      </c>
      <c r="Z111" s="3" t="s">
        <v>19</v>
      </c>
      <c r="AA111" s="2"/>
      <c r="AB111" s="3" t="s">
        <v>3</v>
      </c>
      <c r="AC111" s="3" t="s">
        <v>8</v>
      </c>
      <c r="AD111" s="3" t="s">
        <v>9</v>
      </c>
      <c r="AE111" s="3" t="s">
        <v>10</v>
      </c>
      <c r="AF111" s="3" t="s">
        <v>11</v>
      </c>
      <c r="AG111" s="3" t="s">
        <v>12</v>
      </c>
      <c r="AH111" s="3" t="s">
        <v>13</v>
      </c>
      <c r="AI111" s="3" t="s">
        <v>14</v>
      </c>
      <c r="AJ111" s="3" t="s">
        <v>15</v>
      </c>
      <c r="AK111" s="3" t="s">
        <v>16</v>
      </c>
      <c r="AL111" s="3" t="s">
        <v>17</v>
      </c>
      <c r="AM111" s="3" t="s">
        <v>18</v>
      </c>
      <c r="AN111" s="3" t="s">
        <v>19</v>
      </c>
    </row>
    <row r="112" spans="1:40" x14ac:dyDescent="0.2">
      <c r="A112" s="7" t="s">
        <v>36</v>
      </c>
      <c r="B112" s="8">
        <v>10204</v>
      </c>
      <c r="C112" s="8">
        <v>9047</v>
      </c>
      <c r="D112" s="8">
        <v>11588</v>
      </c>
      <c r="E112" s="8">
        <v>9627</v>
      </c>
      <c r="F112" s="8">
        <v>9355</v>
      </c>
      <c r="G112" s="8">
        <v>8796</v>
      </c>
      <c r="H112" s="8">
        <v>11989</v>
      </c>
      <c r="I112" s="8">
        <v>8484</v>
      </c>
      <c r="J112" s="8">
        <v>7728</v>
      </c>
      <c r="K112" s="8">
        <v>7604</v>
      </c>
      <c r="L112" s="8">
        <v>6837</v>
      </c>
      <c r="M112" s="8">
        <v>7276</v>
      </c>
      <c r="N112" s="4" t="s">
        <v>36</v>
      </c>
      <c r="O112" s="5">
        <v>10204</v>
      </c>
      <c r="P112" s="5">
        <v>9047</v>
      </c>
      <c r="Q112" s="5">
        <v>11588</v>
      </c>
      <c r="R112" s="5">
        <v>9627</v>
      </c>
      <c r="S112" s="5">
        <v>9355</v>
      </c>
      <c r="T112" s="5">
        <v>8796</v>
      </c>
      <c r="U112" s="5">
        <v>11989</v>
      </c>
      <c r="V112" s="5">
        <v>8484</v>
      </c>
      <c r="W112" s="5">
        <v>7728</v>
      </c>
      <c r="X112" s="5">
        <v>7604</v>
      </c>
      <c r="Y112" s="5">
        <v>6837</v>
      </c>
      <c r="Z112" s="5">
        <v>7276</v>
      </c>
      <c r="AA112" s="2"/>
      <c r="AB112" s="4" t="s">
        <v>36</v>
      </c>
      <c r="AC112" s="5">
        <v>10204</v>
      </c>
      <c r="AD112" s="5">
        <v>9047</v>
      </c>
      <c r="AE112" s="5">
        <v>11588</v>
      </c>
      <c r="AF112" s="5">
        <v>9627</v>
      </c>
      <c r="AG112" s="5">
        <v>9355</v>
      </c>
      <c r="AH112" s="5">
        <v>8796</v>
      </c>
      <c r="AI112" s="5">
        <v>11989</v>
      </c>
      <c r="AJ112" s="5">
        <v>8484</v>
      </c>
      <c r="AK112" s="5">
        <v>7728</v>
      </c>
      <c r="AL112" s="5">
        <v>7604</v>
      </c>
      <c r="AM112" s="5">
        <v>6837</v>
      </c>
      <c r="AN112" s="5">
        <v>7276</v>
      </c>
    </row>
    <row r="113" spans="1:40" x14ac:dyDescent="0.2">
      <c r="A113" s="4" t="s">
        <v>37</v>
      </c>
      <c r="B113" s="5">
        <v>183</v>
      </c>
      <c r="C113" s="5">
        <v>244</v>
      </c>
      <c r="D113" s="5">
        <v>273</v>
      </c>
      <c r="E113" s="5">
        <v>241</v>
      </c>
      <c r="F113" s="5">
        <v>300</v>
      </c>
      <c r="G113" s="5">
        <v>327</v>
      </c>
      <c r="H113" s="5">
        <v>347</v>
      </c>
      <c r="I113" s="5">
        <v>407</v>
      </c>
      <c r="J113" s="5">
        <v>291</v>
      </c>
      <c r="K113" s="5">
        <v>203</v>
      </c>
      <c r="L113" s="5">
        <v>223</v>
      </c>
      <c r="M113" s="5">
        <v>215</v>
      </c>
      <c r="N113" s="7" t="s">
        <v>37</v>
      </c>
      <c r="O113" s="8">
        <v>183</v>
      </c>
      <c r="P113" s="8">
        <v>244</v>
      </c>
      <c r="Q113" s="8">
        <v>273</v>
      </c>
      <c r="R113" s="8">
        <v>241</v>
      </c>
      <c r="S113" s="8">
        <v>300</v>
      </c>
      <c r="T113" s="8">
        <v>327</v>
      </c>
      <c r="U113" s="8">
        <v>347</v>
      </c>
      <c r="V113" s="8">
        <v>407</v>
      </c>
      <c r="W113" s="8">
        <v>291</v>
      </c>
      <c r="X113" s="8">
        <v>203</v>
      </c>
      <c r="Y113" s="8">
        <v>223</v>
      </c>
      <c r="Z113" s="8">
        <v>215</v>
      </c>
      <c r="AA113" s="2"/>
      <c r="AB113" s="7" t="s">
        <v>37</v>
      </c>
      <c r="AC113" s="8">
        <v>183</v>
      </c>
      <c r="AD113" s="8">
        <v>244</v>
      </c>
      <c r="AE113" s="8">
        <v>273</v>
      </c>
      <c r="AF113" s="8">
        <v>241</v>
      </c>
      <c r="AG113" s="8">
        <v>300</v>
      </c>
      <c r="AH113" s="8">
        <v>327</v>
      </c>
      <c r="AI113" s="8">
        <v>347</v>
      </c>
      <c r="AJ113" s="8">
        <v>407</v>
      </c>
      <c r="AK113" s="8">
        <v>291</v>
      </c>
      <c r="AL113" s="8">
        <v>203</v>
      </c>
      <c r="AM113" s="8">
        <v>223</v>
      </c>
      <c r="AN113" s="8">
        <v>215</v>
      </c>
    </row>
    <row r="114" spans="1:40" ht="15.75" thickBot="1" x14ac:dyDescent="0.25">
      <c r="A114" s="2"/>
      <c r="B114" s="3" t="s">
        <v>20</v>
      </c>
      <c r="C114" s="3" t="s">
        <v>21</v>
      </c>
      <c r="D114" s="3" t="s">
        <v>22</v>
      </c>
      <c r="E114" s="3" t="s">
        <v>23</v>
      </c>
      <c r="F114" s="3" t="s">
        <v>24</v>
      </c>
      <c r="G114" s="3" t="s">
        <v>25</v>
      </c>
      <c r="H114" s="3" t="s">
        <v>26</v>
      </c>
      <c r="I114" s="3" t="s">
        <v>27</v>
      </c>
      <c r="J114" s="3" t="s">
        <v>28</v>
      </c>
      <c r="K114" s="3" t="s">
        <v>29</v>
      </c>
      <c r="L114" s="3" t="s">
        <v>30</v>
      </c>
      <c r="M114" s="3" t="s">
        <v>31</v>
      </c>
      <c r="N114" s="2"/>
      <c r="O114" s="3" t="s">
        <v>20</v>
      </c>
      <c r="P114" s="3" t="s">
        <v>21</v>
      </c>
      <c r="Q114" s="3" t="s">
        <v>22</v>
      </c>
      <c r="R114" s="3" t="s">
        <v>23</v>
      </c>
      <c r="S114" s="3" t="s">
        <v>24</v>
      </c>
      <c r="T114" s="3" t="s">
        <v>25</v>
      </c>
      <c r="U114" s="3" t="s">
        <v>26</v>
      </c>
      <c r="V114" s="3" t="s">
        <v>27</v>
      </c>
      <c r="W114" s="3" t="s">
        <v>28</v>
      </c>
      <c r="X114" s="3" t="s">
        <v>29</v>
      </c>
      <c r="Y114" s="3" t="s">
        <v>30</v>
      </c>
      <c r="Z114" s="3" t="s">
        <v>31</v>
      </c>
      <c r="AA114" s="2"/>
      <c r="AB114" s="2"/>
      <c r="AC114" s="3" t="s">
        <v>20</v>
      </c>
      <c r="AD114" s="3" t="s">
        <v>21</v>
      </c>
      <c r="AE114" s="3" t="s">
        <v>22</v>
      </c>
      <c r="AF114" s="3" t="s">
        <v>23</v>
      </c>
      <c r="AG114" s="3" t="s">
        <v>24</v>
      </c>
      <c r="AH114" s="3" t="s">
        <v>25</v>
      </c>
      <c r="AI114" s="3" t="s">
        <v>26</v>
      </c>
      <c r="AJ114" s="3" t="s">
        <v>27</v>
      </c>
      <c r="AK114" s="3" t="s">
        <v>28</v>
      </c>
      <c r="AL114" s="3" t="s">
        <v>29</v>
      </c>
      <c r="AM114" s="3" t="s">
        <v>30</v>
      </c>
      <c r="AN114" s="3" t="s">
        <v>31</v>
      </c>
    </row>
    <row r="115" spans="1:40" x14ac:dyDescent="0.2">
      <c r="A115" s="7" t="s">
        <v>36</v>
      </c>
      <c r="B115" s="8">
        <v>6260</v>
      </c>
      <c r="C115" s="8">
        <v>5394</v>
      </c>
      <c r="D115" s="8">
        <v>6806</v>
      </c>
      <c r="E115" s="8">
        <v>6190</v>
      </c>
      <c r="F115" s="8">
        <v>7134</v>
      </c>
      <c r="G115" s="8">
        <v>6423</v>
      </c>
      <c r="H115" s="8">
        <v>6396</v>
      </c>
      <c r="I115" s="8">
        <v>8053</v>
      </c>
      <c r="J115" s="8">
        <v>7075</v>
      </c>
      <c r="K115" s="8">
        <v>7924</v>
      </c>
      <c r="L115" s="8">
        <v>7340</v>
      </c>
      <c r="M115" s="8">
        <v>7879</v>
      </c>
      <c r="N115" s="10" t="s">
        <v>36</v>
      </c>
      <c r="O115" s="5">
        <v>6260</v>
      </c>
      <c r="P115" s="5">
        <v>5394</v>
      </c>
      <c r="Q115" s="5">
        <v>6806</v>
      </c>
      <c r="R115" s="5">
        <v>6190</v>
      </c>
      <c r="S115" s="5">
        <v>7134</v>
      </c>
      <c r="T115" s="5">
        <v>6423</v>
      </c>
      <c r="U115" s="5">
        <v>6396</v>
      </c>
      <c r="V115" s="5">
        <v>8053</v>
      </c>
      <c r="W115" s="5">
        <v>7075</v>
      </c>
      <c r="X115" s="5">
        <v>7924</v>
      </c>
      <c r="Y115" s="5">
        <v>7340</v>
      </c>
      <c r="Z115" s="5">
        <v>7879</v>
      </c>
      <c r="AA115" s="2"/>
      <c r="AB115" s="10" t="s">
        <v>36</v>
      </c>
      <c r="AC115" s="5">
        <v>6260</v>
      </c>
      <c r="AD115" s="5">
        <v>5394</v>
      </c>
      <c r="AE115" s="5">
        <v>6806</v>
      </c>
      <c r="AF115" s="5">
        <v>6190</v>
      </c>
      <c r="AG115" s="5">
        <v>7134</v>
      </c>
      <c r="AH115" s="5">
        <v>6423</v>
      </c>
      <c r="AI115" s="5">
        <v>6396</v>
      </c>
      <c r="AJ115" s="5">
        <v>8053</v>
      </c>
      <c r="AK115" s="5">
        <v>7075</v>
      </c>
      <c r="AL115" s="5">
        <v>7924</v>
      </c>
      <c r="AM115" s="5">
        <v>7340</v>
      </c>
      <c r="AN115" s="5">
        <v>7879</v>
      </c>
    </row>
    <row r="116" spans="1:40" x14ac:dyDescent="0.2">
      <c r="A116" s="4" t="s">
        <v>37</v>
      </c>
      <c r="B116" s="5">
        <v>184</v>
      </c>
      <c r="C116" s="5">
        <v>223</v>
      </c>
      <c r="D116" s="5">
        <v>241</v>
      </c>
      <c r="E116" s="5">
        <v>234</v>
      </c>
      <c r="F116" s="5">
        <v>302</v>
      </c>
      <c r="G116" s="5">
        <v>345</v>
      </c>
      <c r="H116" s="5">
        <v>373</v>
      </c>
      <c r="I116" s="5">
        <v>429</v>
      </c>
      <c r="J116" s="5">
        <v>228</v>
      </c>
      <c r="K116" s="5">
        <v>221</v>
      </c>
      <c r="L116" s="5">
        <v>228</v>
      </c>
      <c r="M116" s="5">
        <v>234</v>
      </c>
      <c r="N116" s="11" t="s">
        <v>37</v>
      </c>
      <c r="O116" s="8">
        <v>184</v>
      </c>
      <c r="P116" s="8">
        <v>223</v>
      </c>
      <c r="Q116" s="8">
        <v>241</v>
      </c>
      <c r="R116" s="8">
        <v>234</v>
      </c>
      <c r="S116" s="8">
        <v>302</v>
      </c>
      <c r="T116" s="8">
        <v>345</v>
      </c>
      <c r="U116" s="8">
        <v>373</v>
      </c>
      <c r="V116" s="8">
        <v>429</v>
      </c>
      <c r="W116" s="8">
        <v>228</v>
      </c>
      <c r="X116" s="8">
        <v>221</v>
      </c>
      <c r="Y116" s="8">
        <v>228</v>
      </c>
      <c r="Z116" s="8">
        <v>234</v>
      </c>
      <c r="AA116" s="2"/>
      <c r="AB116" s="11" t="s">
        <v>37</v>
      </c>
      <c r="AC116" s="8">
        <v>184</v>
      </c>
      <c r="AD116" s="8">
        <v>223</v>
      </c>
      <c r="AE116" s="8">
        <v>241</v>
      </c>
      <c r="AF116" s="8">
        <v>234</v>
      </c>
      <c r="AG116" s="8">
        <v>302</v>
      </c>
      <c r="AH116" s="8">
        <v>345</v>
      </c>
      <c r="AI116" s="8">
        <v>373</v>
      </c>
      <c r="AJ116" s="8">
        <v>429</v>
      </c>
      <c r="AK116" s="8">
        <v>228</v>
      </c>
      <c r="AL116" s="8">
        <v>221</v>
      </c>
      <c r="AM116" s="8">
        <v>228</v>
      </c>
      <c r="AN116" s="8">
        <v>234</v>
      </c>
    </row>
    <row r="117" spans="1:40" x14ac:dyDescent="0.2">
      <c r="A117" s="7" t="s">
        <v>61</v>
      </c>
      <c r="B117" s="9">
        <v>7540</v>
      </c>
      <c r="C117" s="9">
        <v>6913</v>
      </c>
      <c r="D117" s="9">
        <v>8480</v>
      </c>
      <c r="E117" s="9">
        <v>8788</v>
      </c>
      <c r="F117" s="9">
        <v>8320</v>
      </c>
      <c r="G117" s="9">
        <v>8496</v>
      </c>
      <c r="H117" s="9">
        <v>8012</v>
      </c>
      <c r="I117" s="9">
        <v>8082</v>
      </c>
      <c r="J117" s="9">
        <v>7547</v>
      </c>
      <c r="K117" s="9">
        <v>8304</v>
      </c>
      <c r="L117" s="9">
        <v>6527</v>
      </c>
      <c r="M117" s="9">
        <v>8560</v>
      </c>
      <c r="N117" s="4" t="s">
        <v>62</v>
      </c>
      <c r="O117" s="2">
        <v>159</v>
      </c>
      <c r="P117" s="2">
        <v>184</v>
      </c>
      <c r="Q117" s="2">
        <v>219</v>
      </c>
      <c r="R117" s="2">
        <v>237</v>
      </c>
      <c r="S117" s="2">
        <v>272</v>
      </c>
      <c r="T117" s="2">
        <v>323</v>
      </c>
      <c r="U117" s="2">
        <v>372</v>
      </c>
      <c r="V117" s="2">
        <v>348</v>
      </c>
      <c r="W117" s="2">
        <v>264</v>
      </c>
      <c r="X117" s="2">
        <v>218</v>
      </c>
      <c r="Y117" s="2">
        <v>181</v>
      </c>
      <c r="Z117" s="2">
        <v>225</v>
      </c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">
      <c r="A118" s="2" t="s">
        <v>63</v>
      </c>
      <c r="B118" s="2">
        <v>5259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47" spans="1:5" ht="15.75" thickBot="1" x14ac:dyDescent="0.25">
      <c r="A147" s="3" t="s">
        <v>64</v>
      </c>
      <c r="B147" s="3" t="s">
        <v>4</v>
      </c>
      <c r="C147" s="3" t="s">
        <v>5</v>
      </c>
      <c r="D147" s="3" t="s">
        <v>6</v>
      </c>
      <c r="E147" s="3" t="s">
        <v>7</v>
      </c>
    </row>
    <row r="148" spans="1:5" x14ac:dyDescent="0.2">
      <c r="A148" s="4" t="s">
        <v>36</v>
      </c>
      <c r="B148" s="5">
        <v>60436</v>
      </c>
      <c r="C148" s="5">
        <v>83264</v>
      </c>
      <c r="D148" s="5">
        <v>103234</v>
      </c>
      <c r="E148" s="5">
        <v>108535</v>
      </c>
    </row>
    <row r="149" spans="1:5" x14ac:dyDescent="0.2">
      <c r="A149" s="4" t="s">
        <v>37</v>
      </c>
      <c r="B149" s="5">
        <v>3771</v>
      </c>
      <c r="C149" s="5">
        <v>3581</v>
      </c>
      <c r="D149" s="5">
        <v>3475</v>
      </c>
      <c r="E149" s="5">
        <v>3255</v>
      </c>
    </row>
    <row r="150" spans="1:5" x14ac:dyDescent="0.2">
      <c r="A150" s="12" t="s">
        <v>65</v>
      </c>
      <c r="B150" s="13">
        <f>SUM(B148:B149)</f>
        <v>64207</v>
      </c>
      <c r="C150" s="13">
        <f>SUM(C148:C149)</f>
        <v>86845</v>
      </c>
      <c r="D150" s="13">
        <f>SUM(D148:D149)</f>
        <v>106709</v>
      </c>
      <c r="E150" s="13">
        <f>SUM(E148:E149)</f>
        <v>111790</v>
      </c>
    </row>
    <row r="151" spans="1:5" x14ac:dyDescent="0.2">
      <c r="A151" s="4" t="s">
        <v>38</v>
      </c>
      <c r="B151" s="2">
        <v>4</v>
      </c>
      <c r="C151" s="2">
        <v>4</v>
      </c>
      <c r="D151" s="2">
        <v>4</v>
      </c>
      <c r="E151" s="2">
        <v>5</v>
      </c>
    </row>
    <row r="152" spans="1:5" x14ac:dyDescent="0.2">
      <c r="A152" s="4" t="s">
        <v>39</v>
      </c>
      <c r="B152" s="2">
        <v>1.19</v>
      </c>
      <c r="C152" s="2">
        <v>1.25</v>
      </c>
      <c r="D152" s="2">
        <v>1.25</v>
      </c>
      <c r="E152" s="2">
        <v>1.25</v>
      </c>
    </row>
    <row r="153" spans="1:5" x14ac:dyDescent="0.2">
      <c r="A153" s="4" t="s">
        <v>66</v>
      </c>
      <c r="B153" s="2">
        <f>SUM(B151:B152)</f>
        <v>5.1899999999999995</v>
      </c>
      <c r="C153" s="2">
        <f>SUM(C151:C152)</f>
        <v>5.25</v>
      </c>
      <c r="D153" s="2">
        <f>SUM(D151:D152)</f>
        <v>5.25</v>
      </c>
      <c r="E153" s="2">
        <f>SUM(E151:E152)</f>
        <v>6.25</v>
      </c>
    </row>
    <row r="154" spans="1:5" x14ac:dyDescent="0.2">
      <c r="A154" s="4" t="s">
        <v>67</v>
      </c>
      <c r="B154" s="6">
        <f>SUM(B153*2080)</f>
        <v>10795.199999999999</v>
      </c>
      <c r="C154" s="6">
        <f>SUM(C153*2080+C159)</f>
        <v>11666.89</v>
      </c>
      <c r="D154" s="6">
        <f>SUM(D153*2080+D159)</f>
        <v>11896.25</v>
      </c>
      <c r="E154" s="6">
        <f>SUM(E153*2080+E159)</f>
        <v>14051.61</v>
      </c>
    </row>
    <row r="155" spans="1:5" x14ac:dyDescent="0.2">
      <c r="A155" s="4" t="s">
        <v>40</v>
      </c>
      <c r="B155" s="6">
        <v>1246.27</v>
      </c>
      <c r="C155" s="6">
        <v>1355.52</v>
      </c>
      <c r="D155" s="6">
        <v>1383.56</v>
      </c>
      <c r="E155" s="6">
        <v>1318.25</v>
      </c>
    </row>
    <row r="156" spans="1:5" x14ac:dyDescent="0.2">
      <c r="A156" s="4" t="s">
        <v>41</v>
      </c>
      <c r="B156" s="6">
        <v>513</v>
      </c>
      <c r="C156" s="6">
        <v>572</v>
      </c>
      <c r="D156" s="6">
        <v>720</v>
      </c>
      <c r="E156" s="6">
        <v>636</v>
      </c>
    </row>
    <row r="157" spans="1:5" x14ac:dyDescent="0.2">
      <c r="A157" s="4" t="s">
        <v>42</v>
      </c>
      <c r="B157" s="6">
        <v>1281.25</v>
      </c>
      <c r="C157" s="6">
        <v>1218.75</v>
      </c>
      <c r="D157" s="6">
        <v>1106.25</v>
      </c>
      <c r="E157" s="6">
        <v>1215.55</v>
      </c>
    </row>
    <row r="158" spans="1:5" x14ac:dyDescent="0.2">
      <c r="A158" s="4" t="s">
        <v>43</v>
      </c>
      <c r="B158" s="6">
        <v>341.5</v>
      </c>
      <c r="C158" s="6">
        <v>495.75</v>
      </c>
      <c r="D158" s="6">
        <v>291.5</v>
      </c>
      <c r="E158" s="6">
        <v>373.25</v>
      </c>
    </row>
    <row r="159" spans="1:5" x14ac:dyDescent="0.2">
      <c r="A159" s="4" t="s">
        <v>44</v>
      </c>
      <c r="B159" s="6"/>
      <c r="C159" s="6">
        <v>746.89</v>
      </c>
      <c r="D159" s="6">
        <v>976.25</v>
      </c>
      <c r="E159" s="6">
        <v>1051.6099999999999</v>
      </c>
    </row>
    <row r="160" spans="1:5" x14ac:dyDescent="0.2">
      <c r="A160" s="4" t="s">
        <v>45</v>
      </c>
      <c r="B160" s="6"/>
      <c r="C160" s="6">
        <v>449.75</v>
      </c>
      <c r="D160" s="6">
        <v>687.5</v>
      </c>
      <c r="E160" s="6">
        <v>662.47</v>
      </c>
    </row>
    <row r="161" spans="1:5" x14ac:dyDescent="0.2">
      <c r="A161" s="4" t="s">
        <v>68</v>
      </c>
      <c r="B161" s="6">
        <f>SUM(B156,B158,B160)</f>
        <v>854.5</v>
      </c>
      <c r="C161" s="6">
        <f>SUM(C156,C158,C160)</f>
        <v>1517.5</v>
      </c>
      <c r="D161" s="6">
        <f>SUM(D156,D158,D160)</f>
        <v>1699</v>
      </c>
      <c r="E161" s="6">
        <f>SUM(E156,E158,E160)</f>
        <v>1671.72</v>
      </c>
    </row>
    <row r="162" spans="1:5" x14ac:dyDescent="0.2">
      <c r="A162" s="12" t="s">
        <v>69</v>
      </c>
      <c r="B162" s="14">
        <f>SUM(B154-B161)</f>
        <v>9940.6999999999989</v>
      </c>
      <c r="C162" s="14">
        <f>SUM(C154-C161)</f>
        <v>10149.39</v>
      </c>
      <c r="D162" s="14">
        <f>SUM(D154-D161)</f>
        <v>10197.25</v>
      </c>
      <c r="E162" s="14">
        <f>SUM(E154-E161)</f>
        <v>12379.890000000001</v>
      </c>
    </row>
    <row r="163" spans="1:5" x14ac:dyDescent="0.2">
      <c r="A163" s="4" t="s">
        <v>70</v>
      </c>
      <c r="B163" s="2">
        <f>SUM(B162/2080)</f>
        <v>4.7791826923076917</v>
      </c>
      <c r="C163" s="2">
        <f>SUM(C162/2080)</f>
        <v>4.8795144230769232</v>
      </c>
      <c r="D163" s="2">
        <f>SUM(D162/2080)</f>
        <v>4.9025240384615385</v>
      </c>
      <c r="E163" s="2">
        <f>SUM(E162/2080)</f>
        <v>5.9518701923076929</v>
      </c>
    </row>
    <row r="191" spans="1:13" x14ac:dyDescent="0.2">
      <c r="A191" s="2"/>
      <c r="B191" s="4" t="s">
        <v>48</v>
      </c>
      <c r="C191" s="4" t="s">
        <v>49</v>
      </c>
      <c r="D191" s="4" t="s">
        <v>50</v>
      </c>
      <c r="E191" s="4" t="s">
        <v>51</v>
      </c>
      <c r="F191" s="4" t="s">
        <v>52</v>
      </c>
      <c r="G191" s="4" t="s">
        <v>53</v>
      </c>
      <c r="H191" s="4" t="s">
        <v>54</v>
      </c>
      <c r="I191" s="4" t="s">
        <v>55</v>
      </c>
      <c r="J191" s="4" t="s">
        <v>56</v>
      </c>
      <c r="K191" s="4" t="s">
        <v>57</v>
      </c>
      <c r="L191" s="4" t="s">
        <v>58</v>
      </c>
      <c r="M191" s="4" t="s">
        <v>59</v>
      </c>
    </row>
    <row r="192" spans="1:13" ht="15.75" thickBot="1" x14ac:dyDescent="0.25">
      <c r="A192" s="3" t="s">
        <v>3</v>
      </c>
      <c r="B192" s="3" t="s">
        <v>8</v>
      </c>
      <c r="C192" s="3" t="s">
        <v>9</v>
      </c>
      <c r="D192" s="3" t="s">
        <v>10</v>
      </c>
      <c r="E192" s="3" t="s">
        <v>11</v>
      </c>
      <c r="F192" s="3" t="s">
        <v>12</v>
      </c>
      <c r="G192" s="3" t="s">
        <v>13</v>
      </c>
      <c r="H192" s="3" t="s">
        <v>14</v>
      </c>
      <c r="I192" s="3" t="s">
        <v>15</v>
      </c>
      <c r="J192" s="3" t="s">
        <v>16</v>
      </c>
      <c r="K192" s="3" t="s">
        <v>17</v>
      </c>
      <c r="L192" s="3" t="s">
        <v>18</v>
      </c>
      <c r="M192" s="3" t="s">
        <v>19</v>
      </c>
    </row>
    <row r="194" spans="1:13" x14ac:dyDescent="0.2">
      <c r="A194" s="4" t="s">
        <v>32</v>
      </c>
      <c r="B194" s="5">
        <v>22932</v>
      </c>
      <c r="C194" s="5">
        <v>20916</v>
      </c>
      <c r="D194" s="5">
        <v>26799</v>
      </c>
      <c r="E194" s="5">
        <v>22144</v>
      </c>
      <c r="F194" s="5">
        <v>22465</v>
      </c>
      <c r="G194" s="5">
        <v>21225</v>
      </c>
      <c r="H194" s="5">
        <v>28017</v>
      </c>
      <c r="I194" s="5">
        <v>21645</v>
      </c>
      <c r="J194" s="5">
        <v>18857</v>
      </c>
      <c r="K194" s="5">
        <v>18018</v>
      </c>
      <c r="L194" s="5">
        <v>16626</v>
      </c>
      <c r="M194" s="5">
        <v>17666</v>
      </c>
    </row>
    <row r="195" spans="1:13" x14ac:dyDescent="0.2">
      <c r="A195" s="4" t="s">
        <v>33</v>
      </c>
      <c r="B195" s="5">
        <v>52347</v>
      </c>
      <c r="C195" s="5">
        <v>38172</v>
      </c>
      <c r="D195" s="5">
        <v>49008</v>
      </c>
      <c r="E195" s="5">
        <v>43037</v>
      </c>
      <c r="F195" s="5">
        <v>40194</v>
      </c>
      <c r="G195" s="5">
        <v>34939</v>
      </c>
      <c r="H195" s="5">
        <v>28617</v>
      </c>
      <c r="I195" s="5">
        <v>37263</v>
      </c>
      <c r="J195" s="5">
        <v>32460</v>
      </c>
      <c r="K195" s="5">
        <v>32651</v>
      </c>
      <c r="L195" s="5">
        <v>28494</v>
      </c>
      <c r="M195" s="5">
        <v>28362</v>
      </c>
    </row>
    <row r="196" spans="1:13" x14ac:dyDescent="0.2">
      <c r="A196" s="4" t="s">
        <v>34</v>
      </c>
      <c r="B196" s="5">
        <v>1272</v>
      </c>
      <c r="C196" s="5">
        <v>1936</v>
      </c>
      <c r="D196" s="5">
        <v>2232</v>
      </c>
      <c r="E196" s="5">
        <v>1928</v>
      </c>
      <c r="F196" s="5">
        <v>2408</v>
      </c>
      <c r="G196" s="5">
        <v>2704</v>
      </c>
      <c r="H196" s="5">
        <v>2832</v>
      </c>
      <c r="I196" s="5">
        <v>3440</v>
      </c>
      <c r="J196" s="5">
        <v>2368</v>
      </c>
      <c r="K196" s="5">
        <v>1632</v>
      </c>
      <c r="L196" s="5">
        <v>1688</v>
      </c>
      <c r="M196" s="5">
        <v>1864</v>
      </c>
    </row>
    <row r="197" spans="1:13" x14ac:dyDescent="0.2">
      <c r="A197" s="7" t="s">
        <v>35</v>
      </c>
      <c r="B197" s="8">
        <f t="shared" ref="B197:M197" si="3">SUM(B194:B196)</f>
        <v>76551</v>
      </c>
      <c r="C197" s="8">
        <f t="shared" si="3"/>
        <v>61024</v>
      </c>
      <c r="D197" s="8">
        <f t="shared" si="3"/>
        <v>78039</v>
      </c>
      <c r="E197" s="8">
        <f t="shared" si="3"/>
        <v>67109</v>
      </c>
      <c r="F197" s="8">
        <f t="shared" si="3"/>
        <v>65067</v>
      </c>
      <c r="G197" s="8">
        <f t="shared" si="3"/>
        <v>58868</v>
      </c>
      <c r="H197" s="8">
        <f t="shared" si="3"/>
        <v>59466</v>
      </c>
      <c r="I197" s="8">
        <f t="shared" si="3"/>
        <v>62348</v>
      </c>
      <c r="J197" s="8">
        <f t="shared" si="3"/>
        <v>53685</v>
      </c>
      <c r="K197" s="8">
        <f t="shared" si="3"/>
        <v>52301</v>
      </c>
      <c r="L197" s="8">
        <f t="shared" si="3"/>
        <v>46808</v>
      </c>
      <c r="M197" s="8">
        <f t="shared" si="3"/>
        <v>47892</v>
      </c>
    </row>
    <row r="199" spans="1:13" ht="15.75" thickBot="1" x14ac:dyDescent="0.25">
      <c r="A199" s="2"/>
      <c r="B199" s="3" t="s">
        <v>20</v>
      </c>
      <c r="C199" s="3" t="s">
        <v>21</v>
      </c>
      <c r="D199" s="3" t="s">
        <v>22</v>
      </c>
      <c r="E199" s="3" t="s">
        <v>23</v>
      </c>
      <c r="F199" s="3" t="s">
        <v>24</v>
      </c>
      <c r="G199" s="3" t="s">
        <v>25</v>
      </c>
      <c r="H199" s="3" t="s">
        <v>26</v>
      </c>
      <c r="I199" s="3" t="s">
        <v>27</v>
      </c>
      <c r="J199" s="3" t="s">
        <v>28</v>
      </c>
      <c r="K199" s="3" t="s">
        <v>29</v>
      </c>
      <c r="L199" s="3" t="s">
        <v>30</v>
      </c>
      <c r="M199" s="3" t="s">
        <v>31</v>
      </c>
    </row>
    <row r="200" spans="1:13" x14ac:dyDescent="0.2">
      <c r="A200" s="4" t="s">
        <v>32</v>
      </c>
      <c r="B200" s="5">
        <v>14999</v>
      </c>
      <c r="C200" s="5">
        <v>13574</v>
      </c>
      <c r="D200" s="5">
        <v>16658</v>
      </c>
      <c r="E200" s="5">
        <v>15453</v>
      </c>
      <c r="F200" s="5">
        <v>17593</v>
      </c>
      <c r="G200" s="2"/>
      <c r="H200" s="2"/>
      <c r="I200" s="2"/>
      <c r="J200" s="2"/>
      <c r="K200" s="2"/>
      <c r="L200" s="2"/>
      <c r="M200" s="2"/>
    </row>
    <row r="201" spans="1:13" x14ac:dyDescent="0.2">
      <c r="A201" s="4" t="s">
        <v>33</v>
      </c>
      <c r="B201" s="5">
        <v>27834</v>
      </c>
      <c r="C201" s="5">
        <v>19576</v>
      </c>
      <c r="D201" s="5">
        <v>27109</v>
      </c>
      <c r="E201" s="5">
        <v>29761</v>
      </c>
      <c r="F201" s="5">
        <v>29109</v>
      </c>
      <c r="G201" s="2"/>
      <c r="H201" s="2"/>
      <c r="I201" s="2"/>
      <c r="J201" s="2"/>
      <c r="K201" s="2"/>
      <c r="L201" s="2"/>
      <c r="M201" s="2"/>
    </row>
    <row r="202" spans="1:13" x14ac:dyDescent="0.2">
      <c r="A202" s="4" t="s">
        <v>34</v>
      </c>
      <c r="B202" s="5">
        <v>1432</v>
      </c>
      <c r="C202" s="5">
        <v>1712</v>
      </c>
      <c r="D202" s="5">
        <v>1960</v>
      </c>
      <c r="E202" s="5">
        <v>1888</v>
      </c>
      <c r="F202" s="5">
        <v>2248</v>
      </c>
      <c r="G202" s="2"/>
      <c r="H202" s="2"/>
      <c r="I202" s="2"/>
      <c r="J202" s="2"/>
      <c r="K202" s="2"/>
      <c r="L202" s="2"/>
      <c r="M202" s="2"/>
    </row>
    <row r="203" spans="1:13" x14ac:dyDescent="0.2">
      <c r="A203" s="7" t="s">
        <v>35</v>
      </c>
      <c r="B203" s="8">
        <f>SUM(B200:B202)</f>
        <v>44265</v>
      </c>
      <c r="C203" s="8">
        <f>SUM(C200:C202)</f>
        <v>34862</v>
      </c>
      <c r="D203" s="8">
        <f>SUM(D200:D202)</f>
        <v>45727</v>
      </c>
      <c r="E203" s="8">
        <f>SUM(E200:E202)</f>
        <v>47102</v>
      </c>
      <c r="F203" s="8">
        <f>SUM(F200:F202)</f>
        <v>48950</v>
      </c>
      <c r="G203" s="9"/>
      <c r="H203" s="9"/>
      <c r="I203" s="9"/>
      <c r="J203" s="9"/>
      <c r="K203" s="9"/>
      <c r="L203" s="9"/>
      <c r="M203" s="9"/>
    </row>
    <row r="238" spans="1:13" x14ac:dyDescent="0.2">
      <c r="A238" s="2"/>
      <c r="B238" s="4" t="s">
        <v>48</v>
      </c>
      <c r="C238" s="4" t="s">
        <v>49</v>
      </c>
      <c r="D238" s="4" t="s">
        <v>50</v>
      </c>
      <c r="E238" s="4" t="s">
        <v>51</v>
      </c>
      <c r="F238" s="4" t="s">
        <v>52</v>
      </c>
      <c r="G238" s="4" t="s">
        <v>53</v>
      </c>
      <c r="H238" s="4" t="s">
        <v>54</v>
      </c>
      <c r="I238" s="4" t="s">
        <v>55</v>
      </c>
      <c r="J238" s="4" t="s">
        <v>56</v>
      </c>
      <c r="K238" s="4" t="s">
        <v>57</v>
      </c>
      <c r="L238" s="4" t="s">
        <v>58</v>
      </c>
      <c r="M238" s="4" t="s">
        <v>59</v>
      </c>
    </row>
    <row r="239" spans="1:13" ht="15.75" thickBot="1" x14ac:dyDescent="0.25">
      <c r="A239" s="3" t="s">
        <v>3</v>
      </c>
      <c r="B239" s="3" t="s">
        <v>8</v>
      </c>
      <c r="C239" s="3" t="s">
        <v>9</v>
      </c>
      <c r="D239" s="3" t="s">
        <v>10</v>
      </c>
      <c r="E239" s="3" t="s">
        <v>11</v>
      </c>
      <c r="F239" s="3" t="s">
        <v>12</v>
      </c>
      <c r="G239" s="3" t="s">
        <v>13</v>
      </c>
      <c r="H239" s="3" t="s">
        <v>14</v>
      </c>
      <c r="I239" s="3" t="s">
        <v>15</v>
      </c>
      <c r="J239" s="3" t="s">
        <v>16</v>
      </c>
      <c r="K239" s="3" t="s">
        <v>17</v>
      </c>
      <c r="L239" s="3" t="s">
        <v>18</v>
      </c>
      <c r="M239" s="3" t="s">
        <v>19</v>
      </c>
    </row>
    <row r="241" spans="1:13" x14ac:dyDescent="0.2">
      <c r="A241" s="4" t="s">
        <v>32</v>
      </c>
      <c r="B241" s="5">
        <v>22932</v>
      </c>
      <c r="C241" s="5">
        <v>20916</v>
      </c>
      <c r="D241" s="5">
        <v>26799</v>
      </c>
      <c r="E241" s="5">
        <v>22144</v>
      </c>
      <c r="F241" s="5">
        <v>22465</v>
      </c>
      <c r="G241" s="5">
        <v>21225</v>
      </c>
      <c r="H241" s="5">
        <v>28017</v>
      </c>
      <c r="I241" s="5">
        <v>21645</v>
      </c>
      <c r="J241" s="5">
        <v>18857</v>
      </c>
      <c r="K241" s="5">
        <v>18018</v>
      </c>
      <c r="L241" s="5">
        <v>16626</v>
      </c>
      <c r="M241" s="5">
        <v>17666</v>
      </c>
    </row>
    <row r="242" spans="1:13" x14ac:dyDescent="0.2">
      <c r="A242" s="7" t="s">
        <v>33</v>
      </c>
      <c r="B242" s="8">
        <v>52347</v>
      </c>
      <c r="C242" s="8">
        <v>38172</v>
      </c>
      <c r="D242" s="8">
        <v>49008</v>
      </c>
      <c r="E242" s="8">
        <v>43037</v>
      </c>
      <c r="F242" s="8">
        <v>40194</v>
      </c>
      <c r="G242" s="8">
        <v>34939</v>
      </c>
      <c r="H242" s="8">
        <v>28617</v>
      </c>
      <c r="I242" s="8">
        <v>37263</v>
      </c>
      <c r="J242" s="8">
        <v>32460</v>
      </c>
      <c r="K242" s="8">
        <v>32651</v>
      </c>
      <c r="L242" s="8">
        <v>28494</v>
      </c>
      <c r="M242" s="8">
        <v>28362</v>
      </c>
    </row>
    <row r="243" spans="1:13" x14ac:dyDescent="0.2">
      <c r="A243" s="4" t="s">
        <v>34</v>
      </c>
      <c r="B243" s="5">
        <v>1272</v>
      </c>
      <c r="C243" s="5">
        <v>1936</v>
      </c>
      <c r="D243" s="5">
        <v>2232</v>
      </c>
      <c r="E243" s="5">
        <v>1928</v>
      </c>
      <c r="F243" s="5">
        <v>2408</v>
      </c>
      <c r="G243" s="5">
        <v>2704</v>
      </c>
      <c r="H243" s="5">
        <v>2832</v>
      </c>
      <c r="I243" s="5">
        <v>3440</v>
      </c>
      <c r="J243" s="5">
        <v>2368</v>
      </c>
      <c r="K243" s="5">
        <v>1632</v>
      </c>
      <c r="L243" s="5">
        <v>1688</v>
      </c>
      <c r="M243" s="5">
        <v>1864</v>
      </c>
    </row>
    <row r="244" spans="1:13" x14ac:dyDescent="0.2">
      <c r="A244" s="4" t="s">
        <v>35</v>
      </c>
      <c r="B244" s="5">
        <f t="shared" ref="B244:M244" si="4">SUM(B241:B243)</f>
        <v>76551</v>
      </c>
      <c r="C244" s="5">
        <f t="shared" si="4"/>
        <v>61024</v>
      </c>
      <c r="D244" s="5">
        <f t="shared" si="4"/>
        <v>78039</v>
      </c>
      <c r="E244" s="5">
        <f t="shared" si="4"/>
        <v>67109</v>
      </c>
      <c r="F244" s="5">
        <f t="shared" si="4"/>
        <v>65067</v>
      </c>
      <c r="G244" s="5">
        <f t="shared" si="4"/>
        <v>58868</v>
      </c>
      <c r="H244" s="5">
        <f t="shared" si="4"/>
        <v>59466</v>
      </c>
      <c r="I244" s="5">
        <f t="shared" si="4"/>
        <v>62348</v>
      </c>
      <c r="J244" s="5">
        <f t="shared" si="4"/>
        <v>53685</v>
      </c>
      <c r="K244" s="5">
        <f t="shared" si="4"/>
        <v>52301</v>
      </c>
      <c r="L244" s="5">
        <f t="shared" si="4"/>
        <v>46808</v>
      </c>
      <c r="M244" s="5">
        <f t="shared" si="4"/>
        <v>47892</v>
      </c>
    </row>
    <row r="246" spans="1:13" ht="15.75" thickBot="1" x14ac:dyDescent="0.25">
      <c r="A246" s="2"/>
      <c r="B246" s="3" t="s">
        <v>20</v>
      </c>
      <c r="C246" s="3" t="s">
        <v>21</v>
      </c>
      <c r="D246" s="3" t="s">
        <v>22</v>
      </c>
      <c r="E246" s="3" t="s">
        <v>23</v>
      </c>
      <c r="F246" s="3" t="s">
        <v>24</v>
      </c>
      <c r="G246" s="3" t="s">
        <v>25</v>
      </c>
      <c r="H246" s="3" t="s">
        <v>26</v>
      </c>
      <c r="I246" s="3" t="s">
        <v>27</v>
      </c>
      <c r="J246" s="3" t="s">
        <v>28</v>
      </c>
      <c r="K246" s="3" t="s">
        <v>29</v>
      </c>
      <c r="L246" s="3" t="s">
        <v>30</v>
      </c>
      <c r="M246" s="3" t="s">
        <v>31</v>
      </c>
    </row>
    <row r="247" spans="1:13" x14ac:dyDescent="0.2">
      <c r="A247" s="4" t="s">
        <v>32</v>
      </c>
      <c r="B247" s="5">
        <v>14999</v>
      </c>
      <c r="C247" s="5">
        <v>13574</v>
      </c>
      <c r="D247" s="5">
        <v>16658</v>
      </c>
      <c r="E247" s="5">
        <v>15453</v>
      </c>
      <c r="F247" s="5">
        <v>17593</v>
      </c>
      <c r="G247" s="2"/>
      <c r="H247" s="2"/>
      <c r="I247" s="2"/>
      <c r="J247" s="2"/>
      <c r="K247" s="2"/>
      <c r="L247" s="2"/>
      <c r="M247" s="2"/>
    </row>
    <row r="248" spans="1:13" x14ac:dyDescent="0.2">
      <c r="A248" s="7" t="s">
        <v>33</v>
      </c>
      <c r="B248" s="8">
        <v>27834</v>
      </c>
      <c r="C248" s="8">
        <v>19576</v>
      </c>
      <c r="D248" s="8">
        <v>27109</v>
      </c>
      <c r="E248" s="8">
        <v>29761</v>
      </c>
      <c r="F248" s="8">
        <v>29109</v>
      </c>
      <c r="G248" s="8"/>
      <c r="H248" s="8"/>
      <c r="I248" s="8"/>
      <c r="J248" s="8"/>
      <c r="K248" s="8"/>
      <c r="L248" s="8"/>
      <c r="M248" s="8"/>
    </row>
    <row r="249" spans="1:13" x14ac:dyDescent="0.2">
      <c r="A249" s="4" t="s">
        <v>34</v>
      </c>
      <c r="B249" s="5">
        <v>1432</v>
      </c>
      <c r="C249" s="5">
        <v>1712</v>
      </c>
      <c r="D249" s="5">
        <v>1960</v>
      </c>
      <c r="E249" s="5">
        <v>1888</v>
      </c>
      <c r="F249" s="5">
        <v>2248</v>
      </c>
      <c r="G249" s="2"/>
      <c r="H249" s="2"/>
      <c r="I249" s="2"/>
      <c r="J249" s="2"/>
      <c r="K249" s="2"/>
      <c r="L249" s="2"/>
      <c r="M249" s="2"/>
    </row>
    <row r="250" spans="1:13" x14ac:dyDescent="0.2">
      <c r="A250" s="4" t="s">
        <v>35</v>
      </c>
      <c r="B250" s="5">
        <f>SUM(B247:B249)</f>
        <v>44265</v>
      </c>
      <c r="C250" s="5">
        <f>SUM(C247:C249)</f>
        <v>34862</v>
      </c>
      <c r="D250" s="5">
        <f>SUM(D247:D249)</f>
        <v>45727</v>
      </c>
      <c r="E250" s="5">
        <f>SUM(E247:E249)</f>
        <v>47102</v>
      </c>
      <c r="F250" s="5">
        <f>SUM(F247:F249)</f>
        <v>48950</v>
      </c>
      <c r="G250" s="2"/>
      <c r="H250" s="2"/>
      <c r="I250" s="2"/>
      <c r="J250" s="2"/>
      <c r="K250" s="2"/>
      <c r="L250" s="2"/>
      <c r="M250" s="2"/>
    </row>
    <row r="286" spans="1:13" x14ac:dyDescent="0.2">
      <c r="A286" s="2"/>
      <c r="B286" s="4" t="s">
        <v>48</v>
      </c>
      <c r="C286" s="4" t="s">
        <v>49</v>
      </c>
      <c r="D286" s="4" t="s">
        <v>50</v>
      </c>
      <c r="E286" s="4" t="s">
        <v>51</v>
      </c>
      <c r="F286" s="4" t="s">
        <v>52</v>
      </c>
      <c r="G286" s="4" t="s">
        <v>53</v>
      </c>
      <c r="H286" s="4" t="s">
        <v>54</v>
      </c>
      <c r="I286" s="4" t="s">
        <v>55</v>
      </c>
      <c r="J286" s="4" t="s">
        <v>56</v>
      </c>
      <c r="K286" s="4" t="s">
        <v>57</v>
      </c>
      <c r="L286" s="4" t="s">
        <v>58</v>
      </c>
      <c r="M286" s="4" t="s">
        <v>59</v>
      </c>
    </row>
    <row r="287" spans="1:13" ht="15.75" thickBot="1" x14ac:dyDescent="0.25">
      <c r="A287" s="3" t="s">
        <v>3</v>
      </c>
      <c r="B287" s="3" t="s">
        <v>8</v>
      </c>
      <c r="C287" s="3" t="s">
        <v>9</v>
      </c>
      <c r="D287" s="3" t="s">
        <v>10</v>
      </c>
      <c r="E287" s="3" t="s">
        <v>11</v>
      </c>
      <c r="F287" s="3" t="s">
        <v>12</v>
      </c>
      <c r="G287" s="3" t="s">
        <v>13</v>
      </c>
      <c r="H287" s="3" t="s">
        <v>14</v>
      </c>
      <c r="I287" s="3" t="s">
        <v>15</v>
      </c>
      <c r="J287" s="3" t="s">
        <v>16</v>
      </c>
      <c r="K287" s="3" t="s">
        <v>17</v>
      </c>
      <c r="L287" s="3" t="s">
        <v>18</v>
      </c>
      <c r="M287" s="3" t="s">
        <v>19</v>
      </c>
    </row>
    <row r="289" spans="1:13" x14ac:dyDescent="0.2">
      <c r="A289" s="4" t="s">
        <v>32</v>
      </c>
      <c r="B289" s="5">
        <v>22932</v>
      </c>
      <c r="C289" s="5">
        <v>20916</v>
      </c>
      <c r="D289" s="5">
        <v>26799</v>
      </c>
      <c r="E289" s="5">
        <v>22144</v>
      </c>
      <c r="F289" s="5">
        <v>22465</v>
      </c>
      <c r="G289" s="5">
        <v>21225</v>
      </c>
      <c r="H289" s="5">
        <v>28017</v>
      </c>
      <c r="I289" s="5">
        <v>21645</v>
      </c>
      <c r="J289" s="5">
        <v>18857</v>
      </c>
      <c r="K289" s="5">
        <v>18018</v>
      </c>
      <c r="L289" s="5">
        <v>16626</v>
      </c>
      <c r="M289" s="5">
        <v>17666</v>
      </c>
    </row>
    <row r="290" spans="1:13" x14ac:dyDescent="0.2">
      <c r="A290" s="4" t="s">
        <v>33</v>
      </c>
      <c r="B290" s="5">
        <v>52347</v>
      </c>
      <c r="C290" s="5">
        <v>38172</v>
      </c>
      <c r="D290" s="5">
        <v>49008</v>
      </c>
      <c r="E290" s="5">
        <v>43037</v>
      </c>
      <c r="F290" s="5">
        <v>40194</v>
      </c>
      <c r="G290" s="5">
        <v>34939</v>
      </c>
      <c r="H290" s="5">
        <v>28617</v>
      </c>
      <c r="I290" s="5">
        <v>37263</v>
      </c>
      <c r="J290" s="5">
        <v>32460</v>
      </c>
      <c r="K290" s="5">
        <v>32651</v>
      </c>
      <c r="L290" s="5">
        <v>28494</v>
      </c>
      <c r="M290" s="5">
        <v>28362</v>
      </c>
    </row>
    <row r="291" spans="1:13" x14ac:dyDescent="0.2">
      <c r="A291" s="7" t="s">
        <v>34</v>
      </c>
      <c r="B291" s="8">
        <v>1272</v>
      </c>
      <c r="C291" s="8">
        <v>1936</v>
      </c>
      <c r="D291" s="8">
        <v>2232</v>
      </c>
      <c r="E291" s="8">
        <v>1928</v>
      </c>
      <c r="F291" s="8">
        <v>2408</v>
      </c>
      <c r="G291" s="8">
        <v>2704</v>
      </c>
      <c r="H291" s="8">
        <v>2832</v>
      </c>
      <c r="I291" s="8">
        <v>3440</v>
      </c>
      <c r="J291" s="8">
        <v>2368</v>
      </c>
      <c r="K291" s="8">
        <v>1632</v>
      </c>
      <c r="L291" s="8">
        <v>1688</v>
      </c>
      <c r="M291" s="8">
        <v>1864</v>
      </c>
    </row>
    <row r="292" spans="1:13" x14ac:dyDescent="0.2">
      <c r="A292" s="4" t="s">
        <v>35</v>
      </c>
      <c r="B292" s="5">
        <f t="shared" ref="B292:M292" si="5">SUM(B289:B291)</f>
        <v>76551</v>
      </c>
      <c r="C292" s="5">
        <f t="shared" si="5"/>
        <v>61024</v>
      </c>
      <c r="D292" s="5">
        <f t="shared" si="5"/>
        <v>78039</v>
      </c>
      <c r="E292" s="5">
        <f t="shared" si="5"/>
        <v>67109</v>
      </c>
      <c r="F292" s="5">
        <f t="shared" si="5"/>
        <v>65067</v>
      </c>
      <c r="G292" s="5">
        <f t="shared" si="5"/>
        <v>58868</v>
      </c>
      <c r="H292" s="5">
        <f t="shared" si="5"/>
        <v>59466</v>
      </c>
      <c r="I292" s="5">
        <f t="shared" si="5"/>
        <v>62348</v>
      </c>
      <c r="J292" s="5">
        <f t="shared" si="5"/>
        <v>53685</v>
      </c>
      <c r="K292" s="5">
        <f t="shared" si="5"/>
        <v>52301</v>
      </c>
      <c r="L292" s="5">
        <f t="shared" si="5"/>
        <v>46808</v>
      </c>
      <c r="M292" s="5">
        <f t="shared" si="5"/>
        <v>47892</v>
      </c>
    </row>
    <row r="294" spans="1:13" ht="15.75" thickBot="1" x14ac:dyDescent="0.25">
      <c r="A294" s="2"/>
      <c r="B294" s="3" t="s">
        <v>20</v>
      </c>
      <c r="C294" s="3" t="s">
        <v>21</v>
      </c>
      <c r="D294" s="3" t="s">
        <v>22</v>
      </c>
      <c r="E294" s="3" t="s">
        <v>23</v>
      </c>
      <c r="F294" s="3" t="s">
        <v>24</v>
      </c>
      <c r="G294" s="3" t="s">
        <v>25</v>
      </c>
      <c r="H294" s="3" t="s">
        <v>26</v>
      </c>
      <c r="I294" s="3" t="s">
        <v>27</v>
      </c>
      <c r="J294" s="3" t="s">
        <v>28</v>
      </c>
      <c r="K294" s="3" t="s">
        <v>29</v>
      </c>
      <c r="L294" s="3" t="s">
        <v>30</v>
      </c>
      <c r="M294" s="3" t="s">
        <v>31</v>
      </c>
    </row>
    <row r="295" spans="1:13" x14ac:dyDescent="0.2">
      <c r="A295" s="4" t="s">
        <v>32</v>
      </c>
      <c r="B295" s="5">
        <v>14999</v>
      </c>
      <c r="C295" s="5">
        <v>13574</v>
      </c>
      <c r="D295" s="5">
        <v>16658</v>
      </c>
      <c r="E295" s="5">
        <v>15453</v>
      </c>
      <c r="F295" s="5">
        <v>17593</v>
      </c>
      <c r="G295" s="2"/>
      <c r="H295" s="2"/>
      <c r="I295" s="2"/>
      <c r="J295" s="2"/>
      <c r="K295" s="2"/>
      <c r="L295" s="2"/>
      <c r="M295" s="2"/>
    </row>
    <row r="296" spans="1:13" x14ac:dyDescent="0.2">
      <c r="A296" s="4" t="s">
        <v>33</v>
      </c>
      <c r="B296" s="5">
        <v>27834</v>
      </c>
      <c r="C296" s="5">
        <v>19576</v>
      </c>
      <c r="D296" s="5">
        <v>27109</v>
      </c>
      <c r="E296" s="5">
        <v>29761</v>
      </c>
      <c r="F296" s="5">
        <v>29109</v>
      </c>
      <c r="G296" s="2"/>
      <c r="H296" s="2"/>
      <c r="I296" s="2"/>
      <c r="J296" s="2"/>
      <c r="K296" s="2"/>
      <c r="L296" s="2"/>
      <c r="M296" s="2"/>
    </row>
    <row r="297" spans="1:13" x14ac:dyDescent="0.2">
      <c r="A297" s="7" t="s">
        <v>34</v>
      </c>
      <c r="B297" s="8">
        <v>1432</v>
      </c>
      <c r="C297" s="8">
        <v>1712</v>
      </c>
      <c r="D297" s="8">
        <v>1960</v>
      </c>
      <c r="E297" s="8">
        <v>1888</v>
      </c>
      <c r="F297" s="8">
        <v>2248</v>
      </c>
      <c r="G297" s="8"/>
      <c r="H297" s="8"/>
      <c r="I297" s="8"/>
      <c r="J297" s="8"/>
      <c r="K297" s="8"/>
      <c r="L297" s="8"/>
      <c r="M297" s="8"/>
    </row>
    <row r="298" spans="1:13" x14ac:dyDescent="0.2">
      <c r="A298" s="4" t="s">
        <v>35</v>
      </c>
      <c r="B298" s="5">
        <f>SUM(B295:B297)</f>
        <v>44265</v>
      </c>
      <c r="C298" s="5">
        <f>SUM(C295:C297)</f>
        <v>34862</v>
      </c>
      <c r="D298" s="5">
        <f>SUM(D295:D297)</f>
        <v>45727</v>
      </c>
      <c r="E298" s="5">
        <f>SUM(E295:E297)</f>
        <v>47102</v>
      </c>
      <c r="F298" s="5">
        <f>SUM(F295:F297)</f>
        <v>48950</v>
      </c>
      <c r="G298" s="2"/>
      <c r="H298" s="2"/>
      <c r="I298" s="2"/>
      <c r="J298" s="2"/>
      <c r="K298" s="2"/>
      <c r="L298" s="2"/>
      <c r="M298" s="2"/>
    </row>
    <row r="323" spans="1:6" ht="15.75" thickBot="1" x14ac:dyDescent="0.25">
      <c r="A323" s="3" t="s">
        <v>3</v>
      </c>
      <c r="B323" s="3" t="s">
        <v>4</v>
      </c>
      <c r="C323" s="3" t="s">
        <v>5</v>
      </c>
      <c r="D323" s="3" t="s">
        <v>6</v>
      </c>
      <c r="E323" s="3" t="s">
        <v>7</v>
      </c>
      <c r="F323" s="3" t="s">
        <v>71</v>
      </c>
    </row>
    <row r="324" spans="1:6" x14ac:dyDescent="0.2">
      <c r="A324" s="4" t="s">
        <v>33</v>
      </c>
      <c r="B324" s="5">
        <v>261110</v>
      </c>
      <c r="C324" s="5">
        <v>376583</v>
      </c>
      <c r="D324" s="5">
        <v>437836</v>
      </c>
      <c r="E324" s="5">
        <v>446234</v>
      </c>
      <c r="F324" s="5">
        <v>320134</v>
      </c>
    </row>
    <row r="325" spans="1:6" x14ac:dyDescent="0.2">
      <c r="A325" s="4" t="s">
        <v>34</v>
      </c>
      <c r="B325" s="5">
        <v>30328</v>
      </c>
      <c r="C325" s="5">
        <v>28664</v>
      </c>
      <c r="D325" s="5">
        <v>27824</v>
      </c>
      <c r="E325" s="5">
        <v>26304</v>
      </c>
      <c r="F325" s="5">
        <v>22176</v>
      </c>
    </row>
    <row r="351" spans="1:6" ht="15.75" thickBot="1" x14ac:dyDescent="0.25">
      <c r="A351" s="3" t="s">
        <v>3</v>
      </c>
      <c r="B351" s="3" t="s">
        <v>4</v>
      </c>
      <c r="C351" s="3" t="s">
        <v>5</v>
      </c>
      <c r="D351" s="3" t="s">
        <v>6</v>
      </c>
      <c r="E351" s="3" t="s">
        <v>7</v>
      </c>
      <c r="F351" s="3" t="s">
        <v>71</v>
      </c>
    </row>
    <row r="352" spans="1:6" x14ac:dyDescent="0.2">
      <c r="A352" s="4" t="s">
        <v>65</v>
      </c>
      <c r="B352" s="5">
        <v>64207</v>
      </c>
      <c r="C352" s="5">
        <v>86845</v>
      </c>
      <c r="D352" s="5">
        <v>106709</v>
      </c>
      <c r="E352" s="5">
        <v>111790</v>
      </c>
      <c r="F352" s="5">
        <v>73000</v>
      </c>
    </row>
    <row r="353" spans="1:6" x14ac:dyDescent="0.2">
      <c r="A353" s="4" t="s">
        <v>70</v>
      </c>
      <c r="B353" s="2">
        <v>4.7791826923076925</v>
      </c>
      <c r="C353" s="2">
        <v>4.8795144230769232</v>
      </c>
      <c r="D353" s="2">
        <v>4.9025240384615385</v>
      </c>
      <c r="E353" s="2">
        <v>5.951870192307692</v>
      </c>
      <c r="F353" s="2">
        <v>4.9025239999999997</v>
      </c>
    </row>
    <row r="354" spans="1:6" x14ac:dyDescent="0.2">
      <c r="A354" s="4" t="s">
        <v>72</v>
      </c>
      <c r="B354" s="5">
        <f>B352/B353</f>
        <v>13434.723912802921</v>
      </c>
      <c r="C354" s="5">
        <f>C352/C353</f>
        <v>17797.877507909343</v>
      </c>
      <c r="D354" s="5">
        <f>D352/D353</f>
        <v>21766.134987374047</v>
      </c>
      <c r="E354" s="5">
        <v>18718</v>
      </c>
      <c r="F354" s="5">
        <v>14898</v>
      </c>
    </row>
    <row r="389" spans="1:12" ht="15.75" thickBot="1" x14ac:dyDescent="0.25">
      <c r="A389" s="3" t="s">
        <v>3</v>
      </c>
      <c r="B389" s="3" t="s">
        <v>73</v>
      </c>
      <c r="C389" s="3" t="s">
        <v>74</v>
      </c>
      <c r="D389" s="3" t="s">
        <v>75</v>
      </c>
      <c r="E389" s="3" t="s">
        <v>76</v>
      </c>
      <c r="F389" s="3" t="s">
        <v>77</v>
      </c>
      <c r="G389" s="3" t="s">
        <v>78</v>
      </c>
      <c r="H389" s="3" t="s">
        <v>4</v>
      </c>
      <c r="I389" s="3" t="s">
        <v>5</v>
      </c>
      <c r="J389" s="3" t="s">
        <v>6</v>
      </c>
      <c r="K389" s="3" t="s">
        <v>7</v>
      </c>
      <c r="L389" s="3" t="s">
        <v>71</v>
      </c>
    </row>
    <row r="390" spans="1:12" x14ac:dyDescent="0.2">
      <c r="A390" s="4" t="s">
        <v>65</v>
      </c>
      <c r="B390" s="5">
        <v>46649</v>
      </c>
      <c r="C390" s="5">
        <v>55210</v>
      </c>
      <c r="D390" s="5">
        <v>60014</v>
      </c>
      <c r="E390" s="5">
        <v>58178</v>
      </c>
      <c r="F390" s="5">
        <v>53111</v>
      </c>
      <c r="G390" s="5">
        <v>62159</v>
      </c>
      <c r="H390" s="5">
        <v>64207</v>
      </c>
      <c r="I390" s="5">
        <v>86845</v>
      </c>
      <c r="J390" s="5">
        <v>106709</v>
      </c>
      <c r="K390" s="5">
        <v>111790</v>
      </c>
      <c r="L390" s="5">
        <v>73000</v>
      </c>
    </row>
    <row r="391" spans="1:12" x14ac:dyDescent="0.2">
      <c r="A391" s="4" t="s">
        <v>70</v>
      </c>
      <c r="B391" s="2">
        <v>4.5</v>
      </c>
      <c r="C391" s="2">
        <v>4.9000000000000004</v>
      </c>
      <c r="D391" s="2">
        <v>4.9000000000000004</v>
      </c>
      <c r="E391" s="2">
        <v>4.9000000000000004</v>
      </c>
      <c r="F391" s="2">
        <v>4.9000000000000004</v>
      </c>
      <c r="G391" s="2">
        <v>4.9000000000000004</v>
      </c>
      <c r="H391" s="2">
        <v>4.7791826923076925</v>
      </c>
      <c r="I391" s="2">
        <v>4.8795144230769232</v>
      </c>
      <c r="J391" s="2">
        <v>4.9025240384615385</v>
      </c>
      <c r="K391" s="2">
        <v>5.951870192307692</v>
      </c>
      <c r="L391" s="2">
        <v>4.9025239999999997</v>
      </c>
    </row>
    <row r="392" spans="1:12" x14ac:dyDescent="0.2">
      <c r="A392" s="4" t="s">
        <v>72</v>
      </c>
      <c r="B392" s="5">
        <f t="shared" ref="B392:J392" si="6">B390/B391</f>
        <v>10366.444444444445</v>
      </c>
      <c r="C392" s="5">
        <f t="shared" si="6"/>
        <v>11267.346938775509</v>
      </c>
      <c r="D392" s="5">
        <f t="shared" si="6"/>
        <v>12247.755102040815</v>
      </c>
      <c r="E392" s="5">
        <f t="shared" si="6"/>
        <v>11873.061224489795</v>
      </c>
      <c r="F392" s="5">
        <f t="shared" si="6"/>
        <v>10838.979591836734</v>
      </c>
      <c r="G392" s="5">
        <f t="shared" si="6"/>
        <v>12685.510204081631</v>
      </c>
      <c r="H392" s="5">
        <f t="shared" si="6"/>
        <v>13434.723912802921</v>
      </c>
      <c r="I392" s="5">
        <f t="shared" si="6"/>
        <v>17797.877507909343</v>
      </c>
      <c r="J392" s="5">
        <f t="shared" si="6"/>
        <v>21766.134987374047</v>
      </c>
      <c r="K392" s="5">
        <v>18718</v>
      </c>
      <c r="L392" s="5">
        <v>14898</v>
      </c>
    </row>
  </sheetData>
  <phoneticPr fontId="12" type="noConversion"/>
  <pageMargins left="2.0499999999999998" right="0.2" top="0.35" bottom="0.3" header="0.5" footer="0.5"/>
  <pageSetup scale="70" orientation="landscape" horizontalDpi="4294967293" r:id="rId1"/>
  <headerFooter alignWithMargins="0"/>
  <rowBreaks count="8" manualBreakCount="8">
    <brk id="51" max="16383" man="1"/>
    <brk id="102" max="16383" man="1"/>
    <brk id="153" max="16383" man="1"/>
    <brk id="204" max="16383" man="1"/>
    <brk id="255" max="16383" man="1"/>
    <brk id="306" max="16383" man="1"/>
    <brk id="357" max="16383" man="1"/>
    <brk id="408" max="16383" man="1"/>
  </rowBreaks>
  <colBreaks count="2" manualBreakCount="2">
    <brk id="16" max="1048575" man="1"/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65"/>
  <sheetViews>
    <sheetView zoomScale="70" workbookViewId="0">
      <selection activeCell="L68" sqref="L68"/>
    </sheetView>
  </sheetViews>
  <sheetFormatPr defaultRowHeight="15" x14ac:dyDescent="0.2"/>
  <cols>
    <col min="2" max="2" width="10.33203125" bestFit="1" customWidth="1"/>
    <col min="4" max="5" width="8.5546875" bestFit="1" customWidth="1"/>
    <col min="12" max="12" width="13.88671875" bestFit="1" customWidth="1"/>
    <col min="14" max="14" width="12" bestFit="1" customWidth="1"/>
    <col min="15" max="15" width="12.44140625" customWidth="1"/>
  </cols>
  <sheetData>
    <row r="2" spans="1:14" ht="15.75" thickBot="1" x14ac:dyDescent="0.25"/>
    <row r="3" spans="1:14" ht="15.75" x14ac:dyDescent="0.25">
      <c r="A3" s="86" t="s">
        <v>114</v>
      </c>
      <c r="B3" s="87"/>
      <c r="C3" s="87"/>
      <c r="D3" s="87"/>
      <c r="E3" s="87"/>
      <c r="F3" s="88"/>
      <c r="G3" s="88"/>
      <c r="H3" s="88"/>
      <c r="I3" s="88"/>
      <c r="J3" s="88"/>
      <c r="K3" s="88"/>
      <c r="L3" s="88"/>
      <c r="M3" s="88"/>
      <c r="N3" s="89"/>
    </row>
    <row r="4" spans="1:14" ht="18.75" thickBot="1" x14ac:dyDescent="0.3">
      <c r="A4" s="90"/>
      <c r="B4" s="60" t="s">
        <v>48</v>
      </c>
      <c r="C4" s="60" t="s">
        <v>49</v>
      </c>
      <c r="D4" s="60" t="s">
        <v>50</v>
      </c>
      <c r="E4" s="60" t="s">
        <v>51</v>
      </c>
      <c r="F4" s="60" t="s">
        <v>52</v>
      </c>
      <c r="G4" s="60" t="s">
        <v>53</v>
      </c>
      <c r="H4" s="60" t="s">
        <v>54</v>
      </c>
      <c r="I4" s="60" t="s">
        <v>55</v>
      </c>
      <c r="J4" s="60" t="s">
        <v>56</v>
      </c>
      <c r="K4" s="60" t="s">
        <v>57</v>
      </c>
      <c r="L4" s="60" t="s">
        <v>58</v>
      </c>
      <c r="M4" s="60" t="s">
        <v>59</v>
      </c>
      <c r="N4" s="91" t="s">
        <v>60</v>
      </c>
    </row>
    <row r="5" spans="1:14" ht="18" x14ac:dyDescent="0.25">
      <c r="A5" s="92">
        <v>2003</v>
      </c>
      <c r="B5" s="71">
        <v>14736</v>
      </c>
      <c r="C5" s="71">
        <v>14576</v>
      </c>
      <c r="D5" s="71">
        <v>16570</v>
      </c>
      <c r="E5" s="71">
        <v>17602</v>
      </c>
      <c r="F5" s="71">
        <v>16910</v>
      </c>
      <c r="G5" s="71">
        <f>18914-315-255</f>
        <v>18344</v>
      </c>
      <c r="H5" s="71">
        <v>20091</v>
      </c>
      <c r="I5" s="71">
        <v>19990</v>
      </c>
      <c r="J5" s="71">
        <v>18548</v>
      </c>
      <c r="K5" s="71">
        <v>19302</v>
      </c>
      <c r="L5" s="71"/>
      <c r="M5" s="71"/>
      <c r="N5" s="93">
        <f>SUM(B5:M5)</f>
        <v>176669</v>
      </c>
    </row>
    <row r="6" spans="1:14" ht="18" x14ac:dyDescent="0.25">
      <c r="A6" s="94">
        <v>2002</v>
      </c>
      <c r="B6" s="68">
        <v>12028</v>
      </c>
      <c r="C6" s="68">
        <v>12874</v>
      </c>
      <c r="D6" s="68">
        <v>13311</v>
      </c>
      <c r="E6" s="68">
        <v>13316</v>
      </c>
      <c r="F6" s="68">
        <v>13940</v>
      </c>
      <c r="G6" s="68">
        <v>12475</v>
      </c>
      <c r="H6" s="68">
        <v>12740</v>
      </c>
      <c r="I6" s="68">
        <v>12614</v>
      </c>
      <c r="J6" s="68">
        <v>13001</v>
      </c>
      <c r="K6" s="68">
        <v>16556</v>
      </c>
      <c r="L6" s="68">
        <v>15127</v>
      </c>
      <c r="M6" s="68">
        <v>17743</v>
      </c>
      <c r="N6" s="95">
        <f>SUM(B6:M6)</f>
        <v>165725</v>
      </c>
    </row>
    <row r="7" spans="1:14" ht="18" x14ac:dyDescent="0.25">
      <c r="A7" s="94">
        <v>2001</v>
      </c>
      <c r="B7" s="68">
        <v>7569</v>
      </c>
      <c r="C7" s="68">
        <v>7745</v>
      </c>
      <c r="D7" s="68">
        <v>10214</v>
      </c>
      <c r="E7" s="68">
        <v>10661</v>
      </c>
      <c r="F7" s="68">
        <v>12150</v>
      </c>
      <c r="G7" s="68">
        <v>11893</v>
      </c>
      <c r="H7" s="68">
        <v>11583</v>
      </c>
      <c r="I7" s="68">
        <v>12621</v>
      </c>
      <c r="J7" s="68">
        <v>10146</v>
      </c>
      <c r="K7" s="68">
        <v>12422</v>
      </c>
      <c r="L7" s="68">
        <v>12008</v>
      </c>
      <c r="M7" s="68">
        <v>12246</v>
      </c>
      <c r="N7" s="95">
        <f>SUM(B7:M7)</f>
        <v>131258</v>
      </c>
    </row>
    <row r="8" spans="1:14" ht="18" x14ac:dyDescent="0.25">
      <c r="A8" s="96">
        <v>2000</v>
      </c>
      <c r="B8" s="44">
        <v>7463</v>
      </c>
      <c r="C8" s="44">
        <v>6891</v>
      </c>
      <c r="D8" s="44">
        <v>9397</v>
      </c>
      <c r="E8" s="44">
        <v>7573</v>
      </c>
      <c r="F8" s="44">
        <v>8165</v>
      </c>
      <c r="G8" s="44">
        <v>9160</v>
      </c>
      <c r="H8" s="44">
        <v>7002</v>
      </c>
      <c r="I8" s="44">
        <v>9034</v>
      </c>
      <c r="J8" s="44">
        <v>7753</v>
      </c>
      <c r="K8" s="44">
        <v>8270</v>
      </c>
      <c r="L8" s="44">
        <v>8115</v>
      </c>
      <c r="M8" s="44">
        <v>7496</v>
      </c>
      <c r="N8" s="95">
        <f>SUM(B8:M8)</f>
        <v>96319</v>
      </c>
    </row>
    <row r="9" spans="1:14" ht="18.75" thickBot="1" x14ac:dyDescent="0.3">
      <c r="A9" s="97">
        <v>1999</v>
      </c>
      <c r="B9" s="98">
        <v>11072</v>
      </c>
      <c r="C9" s="98">
        <v>12223</v>
      </c>
      <c r="D9" s="98">
        <v>13432</v>
      </c>
      <c r="E9" s="98">
        <v>13052</v>
      </c>
      <c r="F9" s="98">
        <v>11841</v>
      </c>
      <c r="G9" s="98">
        <v>11207</v>
      </c>
      <c r="H9" s="98">
        <v>10769</v>
      </c>
      <c r="I9" s="98">
        <v>10135</v>
      </c>
      <c r="J9" s="98">
        <v>8576</v>
      </c>
      <c r="K9" s="98">
        <v>8343</v>
      </c>
      <c r="L9" s="98">
        <v>8869</v>
      </c>
      <c r="M9" s="98">
        <v>8922</v>
      </c>
      <c r="N9" s="99">
        <f>SUM(B9:M9)</f>
        <v>128441</v>
      </c>
    </row>
    <row r="11" spans="1:14" ht="15.75" thickBot="1" x14ac:dyDescent="0.25"/>
    <row r="12" spans="1:14" ht="15.75" x14ac:dyDescent="0.25">
      <c r="A12" s="86" t="s">
        <v>115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</row>
    <row r="13" spans="1:14" ht="18.75" thickBot="1" x14ac:dyDescent="0.3">
      <c r="A13" s="114"/>
      <c r="B13" s="60" t="s">
        <v>48</v>
      </c>
      <c r="C13" s="60" t="s">
        <v>49</v>
      </c>
      <c r="D13" s="60" t="s">
        <v>50</v>
      </c>
      <c r="E13" s="60" t="s">
        <v>51</v>
      </c>
      <c r="F13" s="60" t="s">
        <v>52</v>
      </c>
      <c r="G13" s="60" t="s">
        <v>53</v>
      </c>
      <c r="H13" s="60" t="s">
        <v>54</v>
      </c>
      <c r="I13" s="60" t="s">
        <v>55</v>
      </c>
      <c r="J13" s="60" t="s">
        <v>56</v>
      </c>
      <c r="K13" s="60" t="s">
        <v>57</v>
      </c>
      <c r="L13" s="60" t="s">
        <v>58</v>
      </c>
      <c r="M13" s="60" t="s">
        <v>59</v>
      </c>
      <c r="N13" s="91" t="s">
        <v>60</v>
      </c>
    </row>
    <row r="14" spans="1:14" ht="18" x14ac:dyDescent="0.25">
      <c r="A14" s="100">
        <v>2003</v>
      </c>
      <c r="B14" s="61">
        <v>131</v>
      </c>
      <c r="C14" s="50">
        <v>176</v>
      </c>
      <c r="D14" s="50">
        <v>184</v>
      </c>
      <c r="E14" s="50">
        <v>206</v>
      </c>
      <c r="F14" s="50">
        <v>218</v>
      </c>
      <c r="G14" s="42">
        <v>315</v>
      </c>
      <c r="H14" s="42">
        <v>339</v>
      </c>
      <c r="I14" s="42">
        <v>317</v>
      </c>
      <c r="J14" s="42">
        <v>245</v>
      </c>
      <c r="K14" s="42">
        <v>179</v>
      </c>
      <c r="L14" s="42"/>
      <c r="M14" s="42"/>
      <c r="N14" s="101">
        <f>SUM(B14:M14)</f>
        <v>2310</v>
      </c>
    </row>
    <row r="15" spans="1:14" ht="18" x14ac:dyDescent="0.25">
      <c r="A15" s="96">
        <v>2002</v>
      </c>
      <c r="B15" s="44">
        <v>166</v>
      </c>
      <c r="C15" s="44">
        <v>155</v>
      </c>
      <c r="D15" s="44">
        <v>166</v>
      </c>
      <c r="E15" s="44">
        <v>248</v>
      </c>
      <c r="F15" s="44">
        <v>249</v>
      </c>
      <c r="G15" s="44">
        <v>273</v>
      </c>
      <c r="H15" s="44">
        <v>416</v>
      </c>
      <c r="I15" s="44">
        <v>316</v>
      </c>
      <c r="J15" s="44">
        <v>226</v>
      </c>
      <c r="K15" s="44">
        <v>169</v>
      </c>
      <c r="L15" s="44">
        <v>163</v>
      </c>
      <c r="M15" s="44">
        <v>196</v>
      </c>
      <c r="N15" s="102">
        <f>SUM(B15:M15)</f>
        <v>2743</v>
      </c>
    </row>
    <row r="16" spans="1:14" ht="18" x14ac:dyDescent="0.25">
      <c r="A16" s="96">
        <v>2001</v>
      </c>
      <c r="B16" s="44">
        <v>146</v>
      </c>
      <c r="C16" s="44">
        <v>184</v>
      </c>
      <c r="D16" s="44">
        <v>194</v>
      </c>
      <c r="E16" s="44">
        <v>248</v>
      </c>
      <c r="F16" s="44">
        <v>234</v>
      </c>
      <c r="G16" s="44">
        <v>309</v>
      </c>
      <c r="H16" s="44">
        <v>425</v>
      </c>
      <c r="I16" s="44">
        <v>363</v>
      </c>
      <c r="J16" s="44">
        <v>227</v>
      </c>
      <c r="K16" s="44">
        <v>177</v>
      </c>
      <c r="L16" s="44">
        <v>150</v>
      </c>
      <c r="M16" s="44">
        <v>183</v>
      </c>
      <c r="N16" s="102">
        <f>SUM(B16:M16)</f>
        <v>2840</v>
      </c>
    </row>
    <row r="17" spans="1:15" ht="18" x14ac:dyDescent="0.25">
      <c r="A17" s="96">
        <v>2000</v>
      </c>
      <c r="B17" s="44">
        <v>156</v>
      </c>
      <c r="C17" s="44">
        <v>201</v>
      </c>
      <c r="D17" s="44">
        <v>207</v>
      </c>
      <c r="E17" s="44">
        <v>183</v>
      </c>
      <c r="F17" s="44">
        <v>255</v>
      </c>
      <c r="G17" s="44">
        <v>352</v>
      </c>
      <c r="H17" s="44">
        <v>352</v>
      </c>
      <c r="I17" s="44">
        <v>346</v>
      </c>
      <c r="J17" s="44">
        <v>273</v>
      </c>
      <c r="K17" s="44">
        <v>171</v>
      </c>
      <c r="L17" s="44">
        <v>152</v>
      </c>
      <c r="M17" s="44">
        <v>196</v>
      </c>
      <c r="N17" s="102">
        <f>SUM(B17:M17)</f>
        <v>2844</v>
      </c>
    </row>
    <row r="18" spans="1:15" ht="18.75" thickBot="1" x14ac:dyDescent="0.3">
      <c r="A18" s="97">
        <v>1999</v>
      </c>
      <c r="B18" s="103">
        <v>153</v>
      </c>
      <c r="C18" s="103">
        <v>197</v>
      </c>
      <c r="D18" s="103">
        <v>219</v>
      </c>
      <c r="E18" s="103">
        <v>233</v>
      </c>
      <c r="F18" s="103">
        <v>236</v>
      </c>
      <c r="G18" s="103">
        <v>354</v>
      </c>
      <c r="H18" s="103">
        <v>425</v>
      </c>
      <c r="I18" s="103">
        <v>407</v>
      </c>
      <c r="J18" s="103">
        <v>250</v>
      </c>
      <c r="K18" s="103">
        <v>178</v>
      </c>
      <c r="L18" s="103">
        <v>189</v>
      </c>
      <c r="M18" s="103">
        <v>180</v>
      </c>
      <c r="N18" s="104">
        <f>SUM(B18:M18)</f>
        <v>3021</v>
      </c>
    </row>
    <row r="21" spans="1:15" ht="18" x14ac:dyDescent="0.25">
      <c r="A21" s="39" t="s">
        <v>128</v>
      </c>
    </row>
    <row r="22" spans="1:15" ht="15.75" thickBot="1" x14ac:dyDescent="0.25"/>
    <row r="23" spans="1:15" ht="15.75" x14ac:dyDescent="0.25">
      <c r="A23" s="86" t="s">
        <v>127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9"/>
      <c r="O23" s="128" t="s">
        <v>134</v>
      </c>
    </row>
    <row r="24" spans="1:15" ht="18.75" thickBot="1" x14ac:dyDescent="0.3">
      <c r="A24" s="114"/>
      <c r="B24" s="60" t="s">
        <v>48</v>
      </c>
      <c r="C24" s="60" t="s">
        <v>49</v>
      </c>
      <c r="D24" s="60" t="s">
        <v>50</v>
      </c>
      <c r="E24" s="60" t="s">
        <v>51</v>
      </c>
      <c r="F24" s="60" t="s">
        <v>52</v>
      </c>
      <c r="G24" s="60" t="s">
        <v>53</v>
      </c>
      <c r="H24" s="60" t="s">
        <v>54</v>
      </c>
      <c r="I24" s="60" t="s">
        <v>55</v>
      </c>
      <c r="J24" s="60" t="s">
        <v>56</v>
      </c>
      <c r="K24" s="60" t="s">
        <v>57</v>
      </c>
      <c r="L24" s="60" t="s">
        <v>58</v>
      </c>
      <c r="M24" s="60" t="s">
        <v>59</v>
      </c>
      <c r="N24" s="91" t="s">
        <v>60</v>
      </c>
      <c r="O24" s="129" t="s">
        <v>57</v>
      </c>
    </row>
    <row r="25" spans="1:15" ht="18" x14ac:dyDescent="0.25">
      <c r="A25" s="92">
        <v>2003</v>
      </c>
      <c r="B25" s="106">
        <f t="shared" ref="B25:M25" si="0">B5+B14</f>
        <v>14867</v>
      </c>
      <c r="C25" s="106">
        <f t="shared" si="0"/>
        <v>14752</v>
      </c>
      <c r="D25" s="106">
        <f t="shared" si="0"/>
        <v>16754</v>
      </c>
      <c r="E25" s="106">
        <f t="shared" si="0"/>
        <v>17808</v>
      </c>
      <c r="F25" s="106">
        <f t="shared" si="0"/>
        <v>17128</v>
      </c>
      <c r="G25" s="106">
        <f t="shared" si="0"/>
        <v>18659</v>
      </c>
      <c r="H25" s="106">
        <f t="shared" si="0"/>
        <v>20430</v>
      </c>
      <c r="I25" s="106">
        <f t="shared" si="0"/>
        <v>20307</v>
      </c>
      <c r="J25" s="106">
        <f t="shared" si="0"/>
        <v>18793</v>
      </c>
      <c r="K25" s="106">
        <f t="shared" si="0"/>
        <v>19481</v>
      </c>
      <c r="L25" s="106">
        <f t="shared" si="0"/>
        <v>0</v>
      </c>
      <c r="M25" s="106">
        <f t="shared" si="0"/>
        <v>0</v>
      </c>
      <c r="N25" s="101">
        <f>SUM(B25:M25)</f>
        <v>178979</v>
      </c>
      <c r="O25" s="105">
        <f>SUM(B25:K25)</f>
        <v>178979</v>
      </c>
    </row>
    <row r="26" spans="1:15" ht="18" x14ac:dyDescent="0.25">
      <c r="A26" s="94">
        <v>2002</v>
      </c>
      <c r="B26" s="106">
        <f t="shared" ref="B26:M26" si="1">B6+B15</f>
        <v>12194</v>
      </c>
      <c r="C26" s="106">
        <f t="shared" si="1"/>
        <v>13029</v>
      </c>
      <c r="D26" s="106">
        <f t="shared" si="1"/>
        <v>13477</v>
      </c>
      <c r="E26" s="106">
        <f t="shared" si="1"/>
        <v>13564</v>
      </c>
      <c r="F26" s="106">
        <f t="shared" si="1"/>
        <v>14189</v>
      </c>
      <c r="G26" s="106">
        <f t="shared" si="1"/>
        <v>12748</v>
      </c>
      <c r="H26" s="106">
        <f t="shared" si="1"/>
        <v>13156</v>
      </c>
      <c r="I26" s="106">
        <f t="shared" si="1"/>
        <v>12930</v>
      </c>
      <c r="J26" s="106">
        <f t="shared" si="1"/>
        <v>13227</v>
      </c>
      <c r="K26" s="106">
        <f t="shared" si="1"/>
        <v>16725</v>
      </c>
      <c r="L26" s="106">
        <f t="shared" si="1"/>
        <v>15290</v>
      </c>
      <c r="M26" s="106">
        <f t="shared" si="1"/>
        <v>17939</v>
      </c>
      <c r="N26" s="102">
        <f>SUM(B26:M26)</f>
        <v>168468</v>
      </c>
      <c r="O26" s="105">
        <f>SUM(B26:K26)</f>
        <v>135239</v>
      </c>
    </row>
    <row r="27" spans="1:15" ht="18" x14ac:dyDescent="0.25">
      <c r="A27" s="94">
        <v>2001</v>
      </c>
      <c r="B27" s="106">
        <f t="shared" ref="B27:M27" si="2">B7+B16</f>
        <v>7715</v>
      </c>
      <c r="C27" s="106">
        <f t="shared" si="2"/>
        <v>7929</v>
      </c>
      <c r="D27" s="106">
        <f t="shared" si="2"/>
        <v>10408</v>
      </c>
      <c r="E27" s="106">
        <f t="shared" si="2"/>
        <v>10909</v>
      </c>
      <c r="F27" s="106">
        <f t="shared" si="2"/>
        <v>12384</v>
      </c>
      <c r="G27" s="106">
        <f t="shared" si="2"/>
        <v>12202</v>
      </c>
      <c r="H27" s="106">
        <f t="shared" si="2"/>
        <v>12008</v>
      </c>
      <c r="I27" s="106">
        <f t="shared" si="2"/>
        <v>12984</v>
      </c>
      <c r="J27" s="106">
        <f t="shared" si="2"/>
        <v>10373</v>
      </c>
      <c r="K27" s="106">
        <f t="shared" si="2"/>
        <v>12599</v>
      </c>
      <c r="L27" s="106">
        <f t="shared" si="2"/>
        <v>12158</v>
      </c>
      <c r="M27" s="106">
        <f t="shared" si="2"/>
        <v>12429</v>
      </c>
      <c r="N27" s="102">
        <f>SUM(B27:M27)</f>
        <v>134098</v>
      </c>
    </row>
    <row r="28" spans="1:15" ht="18" x14ac:dyDescent="0.25">
      <c r="A28" s="96">
        <v>2000</v>
      </c>
      <c r="B28" s="106">
        <f t="shared" ref="B28:M28" si="3">B8+B17</f>
        <v>7619</v>
      </c>
      <c r="C28" s="106">
        <f t="shared" si="3"/>
        <v>7092</v>
      </c>
      <c r="D28" s="106">
        <f t="shared" si="3"/>
        <v>9604</v>
      </c>
      <c r="E28" s="106">
        <f t="shared" si="3"/>
        <v>7756</v>
      </c>
      <c r="F28" s="106">
        <f t="shared" si="3"/>
        <v>8420</v>
      </c>
      <c r="G28" s="106">
        <f t="shared" si="3"/>
        <v>9512</v>
      </c>
      <c r="H28" s="106">
        <f t="shared" si="3"/>
        <v>7354</v>
      </c>
      <c r="I28" s="106">
        <f t="shared" si="3"/>
        <v>9380</v>
      </c>
      <c r="J28" s="106">
        <f t="shared" si="3"/>
        <v>8026</v>
      </c>
      <c r="K28" s="106">
        <f t="shared" si="3"/>
        <v>8441</v>
      </c>
      <c r="L28" s="106">
        <f t="shared" si="3"/>
        <v>8267</v>
      </c>
      <c r="M28" s="106">
        <f t="shared" si="3"/>
        <v>7692</v>
      </c>
      <c r="N28" s="102">
        <f>SUM(B28:M28)</f>
        <v>99163</v>
      </c>
    </row>
    <row r="29" spans="1:15" ht="18.75" thickBot="1" x14ac:dyDescent="0.3">
      <c r="A29" s="97">
        <v>1999</v>
      </c>
      <c r="B29" s="107">
        <f t="shared" ref="B29:M29" si="4">B9+B18</f>
        <v>11225</v>
      </c>
      <c r="C29" s="107">
        <f t="shared" si="4"/>
        <v>12420</v>
      </c>
      <c r="D29" s="107">
        <f t="shared" si="4"/>
        <v>13651</v>
      </c>
      <c r="E29" s="107">
        <f t="shared" si="4"/>
        <v>13285</v>
      </c>
      <c r="F29" s="107">
        <f t="shared" si="4"/>
        <v>12077</v>
      </c>
      <c r="G29" s="107">
        <f t="shared" si="4"/>
        <v>11561</v>
      </c>
      <c r="H29" s="107">
        <f t="shared" si="4"/>
        <v>11194</v>
      </c>
      <c r="I29" s="107">
        <f t="shared" si="4"/>
        <v>10542</v>
      </c>
      <c r="J29" s="107">
        <f t="shared" si="4"/>
        <v>8826</v>
      </c>
      <c r="K29" s="107">
        <f t="shared" si="4"/>
        <v>8521</v>
      </c>
      <c r="L29" s="107">
        <f t="shared" si="4"/>
        <v>9058</v>
      </c>
      <c r="M29" s="107">
        <f t="shared" si="4"/>
        <v>9102</v>
      </c>
      <c r="N29" s="104">
        <f>SUM(B29:M29)</f>
        <v>131462</v>
      </c>
    </row>
    <row r="30" spans="1:15" ht="10.5" customHeight="1" x14ac:dyDescent="0.25">
      <c r="A30" s="80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63"/>
    </row>
    <row r="31" spans="1:15" x14ac:dyDescent="0.2">
      <c r="N31" s="133" t="s">
        <v>138</v>
      </c>
      <c r="O31" s="105">
        <f>O25-O26</f>
        <v>43740</v>
      </c>
    </row>
    <row r="32" spans="1:15" ht="15.75" thickBot="1" x14ac:dyDescent="0.25"/>
    <row r="33" spans="1:15" ht="15.75" x14ac:dyDescent="0.25">
      <c r="A33" s="86" t="s">
        <v>125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9"/>
      <c r="O33" s="128" t="s">
        <v>134</v>
      </c>
    </row>
    <row r="34" spans="1:15" ht="18.75" thickBot="1" x14ac:dyDescent="0.3">
      <c r="A34" s="114"/>
      <c r="B34" s="60" t="s">
        <v>48</v>
      </c>
      <c r="C34" s="60" t="s">
        <v>49</v>
      </c>
      <c r="D34" s="60" t="s">
        <v>50</v>
      </c>
      <c r="E34" s="60" t="s">
        <v>51</v>
      </c>
      <c r="F34" s="60" t="s">
        <v>52</v>
      </c>
      <c r="G34" s="60" t="s">
        <v>53</v>
      </c>
      <c r="H34" s="60" t="s">
        <v>54</v>
      </c>
      <c r="I34" s="60" t="s">
        <v>55</v>
      </c>
      <c r="J34" s="60" t="s">
        <v>56</v>
      </c>
      <c r="K34" s="60" t="s">
        <v>57</v>
      </c>
      <c r="L34" s="60" t="s">
        <v>58</v>
      </c>
      <c r="M34" s="60" t="s">
        <v>59</v>
      </c>
      <c r="N34" s="91" t="s">
        <v>60</v>
      </c>
      <c r="O34" s="129" t="s">
        <v>57</v>
      </c>
    </row>
    <row r="35" spans="1:15" ht="18" x14ac:dyDescent="0.25">
      <c r="A35" s="92">
        <v>2003</v>
      </c>
      <c r="B35" s="117">
        <v>131855</v>
      </c>
      <c r="C35" s="117">
        <v>133304</v>
      </c>
      <c r="D35" s="117">
        <v>144288</v>
      </c>
      <c r="E35" s="117">
        <v>172771</v>
      </c>
      <c r="F35" s="117">
        <v>140468</v>
      </c>
      <c r="G35" s="117">
        <v>171270</v>
      </c>
      <c r="H35" s="117">
        <v>223621</v>
      </c>
      <c r="I35" s="117">
        <v>185522</v>
      </c>
      <c r="J35" s="117">
        <v>180609</v>
      </c>
      <c r="K35" s="117">
        <v>156462</v>
      </c>
      <c r="L35" s="117"/>
      <c r="M35" s="117"/>
      <c r="N35" s="101">
        <f>SUM(B35:M35)</f>
        <v>1640170</v>
      </c>
      <c r="O35" s="105">
        <f>SUM(B35:K35)</f>
        <v>1640170</v>
      </c>
    </row>
    <row r="36" spans="1:15" ht="18" x14ac:dyDescent="0.25">
      <c r="A36" s="94">
        <v>2002</v>
      </c>
      <c r="B36" s="123">
        <v>89059</v>
      </c>
      <c r="C36" s="117">
        <v>88474</v>
      </c>
      <c r="D36" s="117">
        <v>97471</v>
      </c>
      <c r="E36" s="117">
        <v>101031</v>
      </c>
      <c r="F36" s="117">
        <v>102753</v>
      </c>
      <c r="G36" s="117">
        <v>88545</v>
      </c>
      <c r="H36" s="117">
        <v>96385</v>
      </c>
      <c r="I36" s="117">
        <v>103021</v>
      </c>
      <c r="J36" s="117">
        <v>97088</v>
      </c>
      <c r="K36" s="117">
        <v>144236</v>
      </c>
      <c r="L36" s="117">
        <v>122492</v>
      </c>
      <c r="M36" s="117">
        <v>168362</v>
      </c>
      <c r="N36" s="101">
        <f>SUM(B36:M36)</f>
        <v>1298917</v>
      </c>
      <c r="O36" s="105">
        <f>SUM(B36:K36)</f>
        <v>1008063</v>
      </c>
    </row>
    <row r="37" spans="1:15" ht="18" x14ac:dyDescent="0.25">
      <c r="A37" s="94">
        <v>2001</v>
      </c>
      <c r="B37" s="123">
        <v>59707</v>
      </c>
      <c r="C37" s="117">
        <v>59106</v>
      </c>
      <c r="D37" s="117">
        <v>81702</v>
      </c>
      <c r="E37" s="117">
        <v>83279</v>
      </c>
      <c r="F37" s="117">
        <v>93314</v>
      </c>
      <c r="G37" s="117">
        <v>108442</v>
      </c>
      <c r="H37" s="117">
        <v>89584</v>
      </c>
      <c r="I37" s="117">
        <v>97852</v>
      </c>
      <c r="J37" s="117">
        <v>80687</v>
      </c>
      <c r="K37" s="117">
        <v>100476</v>
      </c>
      <c r="L37" s="117">
        <v>100712</v>
      </c>
      <c r="M37" s="117">
        <v>120346</v>
      </c>
      <c r="N37" s="101">
        <f>SUM(B37:M37)</f>
        <v>1075207</v>
      </c>
    </row>
    <row r="38" spans="1:15" ht="18" x14ac:dyDescent="0.25">
      <c r="A38" s="96">
        <v>2000</v>
      </c>
      <c r="B38" s="123">
        <v>51114</v>
      </c>
      <c r="C38" s="117">
        <v>48411</v>
      </c>
      <c r="D38" s="117">
        <v>64982</v>
      </c>
      <c r="E38" s="117">
        <v>55509</v>
      </c>
      <c r="F38" s="117">
        <v>54551</v>
      </c>
      <c r="G38" s="117">
        <v>67426</v>
      </c>
      <c r="H38" s="117">
        <v>53466</v>
      </c>
      <c r="I38" s="117">
        <v>63722</v>
      </c>
      <c r="J38" s="117">
        <v>52739</v>
      </c>
      <c r="K38" s="117">
        <v>56004</v>
      </c>
      <c r="L38" s="117">
        <v>56695</v>
      </c>
      <c r="M38" s="117">
        <v>53507</v>
      </c>
      <c r="N38" s="101">
        <f>SUM(B38:M38)</f>
        <v>678126</v>
      </c>
    </row>
    <row r="39" spans="1:15" ht="18.75" thickBot="1" x14ac:dyDescent="0.3">
      <c r="A39" s="97">
        <v>1999</v>
      </c>
      <c r="B39" s="118">
        <v>75673</v>
      </c>
      <c r="C39" s="118">
        <v>81807</v>
      </c>
      <c r="D39" s="118">
        <v>88765</v>
      </c>
      <c r="E39" s="118">
        <v>87756</v>
      </c>
      <c r="F39" s="118">
        <v>82354</v>
      </c>
      <c r="G39" s="118">
        <v>78732</v>
      </c>
      <c r="H39" s="118">
        <v>76226</v>
      </c>
      <c r="I39" s="118">
        <v>62725</v>
      </c>
      <c r="J39" s="118">
        <v>68460</v>
      </c>
      <c r="K39" s="118">
        <v>60431</v>
      </c>
      <c r="L39" s="118">
        <v>61762</v>
      </c>
      <c r="M39" s="118">
        <v>64511</v>
      </c>
      <c r="N39" s="113">
        <f>SUM(B39:M39)</f>
        <v>889202</v>
      </c>
    </row>
    <row r="40" spans="1:15" ht="10.5" customHeight="1" thickBot="1" x14ac:dyDescent="0.3">
      <c r="A40" s="80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43"/>
    </row>
    <row r="41" spans="1:15" ht="15.75" thickBot="1" x14ac:dyDescent="0.25">
      <c r="M41" s="135"/>
      <c r="N41" s="136" t="s">
        <v>137</v>
      </c>
      <c r="O41" s="134">
        <f>O35-O36</f>
        <v>632107</v>
      </c>
    </row>
    <row r="42" spans="1:15" ht="15.75" thickBot="1" x14ac:dyDescent="0.25"/>
    <row r="43" spans="1:15" ht="15.75" x14ac:dyDescent="0.25">
      <c r="A43" s="86" t="s">
        <v>126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137" t="s">
        <v>139</v>
      </c>
      <c r="O43" s="128" t="s">
        <v>134</v>
      </c>
    </row>
    <row r="44" spans="1:15" ht="18.75" thickBot="1" x14ac:dyDescent="0.3">
      <c r="A44" s="114"/>
      <c r="B44" s="60" t="s">
        <v>48</v>
      </c>
      <c r="C44" s="60" t="s">
        <v>49</v>
      </c>
      <c r="D44" s="60" t="s">
        <v>50</v>
      </c>
      <c r="E44" s="60" t="s">
        <v>51</v>
      </c>
      <c r="F44" s="60" t="s">
        <v>52</v>
      </c>
      <c r="G44" s="60" t="s">
        <v>53</v>
      </c>
      <c r="H44" s="60" t="s">
        <v>54</v>
      </c>
      <c r="I44" s="60" t="s">
        <v>55</v>
      </c>
      <c r="J44" s="60" t="s">
        <v>56</v>
      </c>
      <c r="K44" s="60" t="s">
        <v>57</v>
      </c>
      <c r="L44" s="60" t="s">
        <v>58</v>
      </c>
      <c r="M44" s="60" t="s">
        <v>59</v>
      </c>
      <c r="N44" s="91" t="s">
        <v>140</v>
      </c>
      <c r="O44" s="129" t="s">
        <v>57</v>
      </c>
    </row>
    <row r="45" spans="1:15" ht="18" x14ac:dyDescent="0.25">
      <c r="A45" s="92">
        <v>2003</v>
      </c>
      <c r="B45" s="115">
        <f>B35/B25</f>
        <v>8.8689715477231452</v>
      </c>
      <c r="C45" s="115">
        <f t="shared" ref="C45:M45" si="5">C35/C25</f>
        <v>9.0363340563991326</v>
      </c>
      <c r="D45" s="115">
        <f t="shared" si="5"/>
        <v>8.6121523218335927</v>
      </c>
      <c r="E45" s="115">
        <f t="shared" si="5"/>
        <v>9.7018755615453731</v>
      </c>
      <c r="F45" s="115">
        <f t="shared" si="5"/>
        <v>8.2010742643624468</v>
      </c>
      <c r="G45" s="115">
        <f t="shared" si="5"/>
        <v>9.1789484967040043</v>
      </c>
      <c r="H45" s="115">
        <f t="shared" si="5"/>
        <v>10.945717082721488</v>
      </c>
      <c r="I45" s="115">
        <f t="shared" si="5"/>
        <v>9.1358644802284932</v>
      </c>
      <c r="J45" s="115">
        <f t="shared" si="5"/>
        <v>9.6104400574682067</v>
      </c>
      <c r="K45" s="115">
        <f t="shared" si="5"/>
        <v>8.0315178892253982</v>
      </c>
      <c r="L45" s="115" t="e">
        <f t="shared" si="5"/>
        <v>#DIV/0!</v>
      </c>
      <c r="M45" s="115" t="e">
        <f t="shared" si="5"/>
        <v>#DIV/0!</v>
      </c>
      <c r="N45" s="138">
        <f>O35/O25</f>
        <v>9.1640360042239593</v>
      </c>
    </row>
    <row r="46" spans="1:15" ht="18" x14ac:dyDescent="0.25">
      <c r="A46" s="94">
        <v>2002</v>
      </c>
      <c r="B46" s="125">
        <f>B36/B26</f>
        <v>7.3035099229129079</v>
      </c>
      <c r="C46" s="115">
        <f t="shared" ref="C46:M46" si="6">C36/C26</f>
        <v>6.7905441706961396</v>
      </c>
      <c r="D46" s="115">
        <f t="shared" si="6"/>
        <v>7.2323959338131631</v>
      </c>
      <c r="E46" s="115">
        <f t="shared" si="6"/>
        <v>7.4484665290474785</v>
      </c>
      <c r="F46" s="115">
        <f t="shared" si="6"/>
        <v>7.2417365564874201</v>
      </c>
      <c r="G46" s="115">
        <f t="shared" si="6"/>
        <v>6.9457954188892375</v>
      </c>
      <c r="H46" s="115">
        <f t="shared" si="6"/>
        <v>7.326314989358468</v>
      </c>
      <c r="I46" s="115">
        <f t="shared" si="6"/>
        <v>7.967594740912606</v>
      </c>
      <c r="J46" s="115">
        <f t="shared" si="6"/>
        <v>7.340137597338777</v>
      </c>
      <c r="K46" s="115">
        <f t="shared" si="6"/>
        <v>8.6239760837070261</v>
      </c>
      <c r="L46" s="115">
        <f t="shared" si="6"/>
        <v>8.0112491824722039</v>
      </c>
      <c r="M46" s="115">
        <f t="shared" si="6"/>
        <v>9.3852500139361172</v>
      </c>
      <c r="N46" s="119">
        <f>O36/O26</f>
        <v>7.45393710394191</v>
      </c>
    </row>
    <row r="47" spans="1:15" ht="18" x14ac:dyDescent="0.25">
      <c r="A47" s="94">
        <v>2001</v>
      </c>
      <c r="B47" s="125">
        <f>B37/B27</f>
        <v>7.7390797148412185</v>
      </c>
      <c r="C47" s="115">
        <f t="shared" ref="C47:M47" si="7">C37/C27</f>
        <v>7.4544078698448732</v>
      </c>
      <c r="D47" s="115">
        <f t="shared" si="7"/>
        <v>7.8499231360491928</v>
      </c>
      <c r="E47" s="115">
        <f t="shared" si="7"/>
        <v>7.6339719497662477</v>
      </c>
      <c r="F47" s="115">
        <f t="shared" si="7"/>
        <v>7.5350452196382429</v>
      </c>
      <c r="G47" s="115">
        <f t="shared" si="7"/>
        <v>8.8872316013768238</v>
      </c>
      <c r="H47" s="115">
        <f t="shared" si="7"/>
        <v>7.4603597601598937</v>
      </c>
      <c r="I47" s="115">
        <f t="shared" si="7"/>
        <v>7.536352433764633</v>
      </c>
      <c r="J47" s="115">
        <f t="shared" si="7"/>
        <v>7.7785597223561167</v>
      </c>
      <c r="K47" s="115">
        <f t="shared" si="7"/>
        <v>7.974918644336852</v>
      </c>
      <c r="L47" s="115">
        <f t="shared" si="7"/>
        <v>8.2835992761967425</v>
      </c>
      <c r="M47" s="115">
        <f t="shared" si="7"/>
        <v>9.6826776088180875</v>
      </c>
      <c r="N47" s="119"/>
    </row>
    <row r="48" spans="1:15" ht="18" x14ac:dyDescent="0.25">
      <c r="A48" s="96">
        <v>2000</v>
      </c>
      <c r="B48" s="125">
        <f>B38/B28</f>
        <v>6.708754429715186</v>
      </c>
      <c r="C48" s="115">
        <f t="shared" ref="C48:M48" si="8">C38/C28</f>
        <v>6.8261421319796955</v>
      </c>
      <c r="D48" s="115">
        <f t="shared" si="8"/>
        <v>6.7661391087047065</v>
      </c>
      <c r="E48" s="115">
        <f t="shared" si="8"/>
        <v>7.1569107787519339</v>
      </c>
      <c r="F48" s="115">
        <f t="shared" si="8"/>
        <v>6.4787410926365796</v>
      </c>
      <c r="G48" s="115">
        <f t="shared" si="8"/>
        <v>7.08851976450799</v>
      </c>
      <c r="H48" s="115">
        <f t="shared" si="8"/>
        <v>7.2703290726135439</v>
      </c>
      <c r="I48" s="115">
        <f t="shared" si="8"/>
        <v>6.7933901918976547</v>
      </c>
      <c r="J48" s="115">
        <f t="shared" si="8"/>
        <v>6.5710191876401698</v>
      </c>
      <c r="K48" s="115">
        <f t="shared" si="8"/>
        <v>6.6347589148205186</v>
      </c>
      <c r="L48" s="115">
        <f t="shared" si="8"/>
        <v>6.8579895971936615</v>
      </c>
      <c r="M48" s="115">
        <f t="shared" si="8"/>
        <v>6.9561882475299015</v>
      </c>
      <c r="N48" s="119"/>
    </row>
    <row r="49" spans="1:15" ht="18.75" thickBot="1" x14ac:dyDescent="0.3">
      <c r="A49" s="97">
        <v>1999</v>
      </c>
      <c r="B49" s="116">
        <f>B39/B29</f>
        <v>6.7414699331848551</v>
      </c>
      <c r="C49" s="116">
        <f t="shared" ref="C49:M49" si="9">C39/C29</f>
        <v>6.5867149758454104</v>
      </c>
      <c r="D49" s="116">
        <f t="shared" si="9"/>
        <v>6.5024540326715989</v>
      </c>
      <c r="E49" s="116">
        <f t="shared" si="9"/>
        <v>6.6056454648099363</v>
      </c>
      <c r="F49" s="116">
        <f t="shared" si="9"/>
        <v>6.8190775854930861</v>
      </c>
      <c r="G49" s="116">
        <f t="shared" si="9"/>
        <v>6.8101375313554193</v>
      </c>
      <c r="H49" s="116">
        <f t="shared" si="9"/>
        <v>6.809540825442201</v>
      </c>
      <c r="I49" s="116">
        <f t="shared" si="9"/>
        <v>5.9500094858660599</v>
      </c>
      <c r="J49" s="116">
        <f t="shared" si="9"/>
        <v>7.7566281441196461</v>
      </c>
      <c r="K49" s="116">
        <f t="shared" si="9"/>
        <v>7.0920079802840039</v>
      </c>
      <c r="L49" s="116">
        <f t="shared" si="9"/>
        <v>6.8185029807904618</v>
      </c>
      <c r="M49" s="116">
        <f t="shared" si="9"/>
        <v>7.0875631729290269</v>
      </c>
      <c r="N49" s="120"/>
    </row>
    <row r="51" spans="1:15" ht="15.75" x14ac:dyDescent="0.25">
      <c r="A51" s="85" t="s">
        <v>131</v>
      </c>
      <c r="N51" t="s">
        <v>132</v>
      </c>
      <c r="O51" t="s">
        <v>133</v>
      </c>
    </row>
    <row r="52" spans="1:15" x14ac:dyDescent="0.2">
      <c r="A52" t="s">
        <v>129</v>
      </c>
      <c r="B52" s="126">
        <f>(B25/B26)-1</f>
        <v>0.21920616696736106</v>
      </c>
      <c r="C52" s="126">
        <f t="shared" ref="C52:K52" si="10">(C25/C26)-1</f>
        <v>0.13224345690382999</v>
      </c>
      <c r="D52" s="126">
        <f t="shared" si="10"/>
        <v>0.24315500482303176</v>
      </c>
      <c r="E52" s="126">
        <f t="shared" si="10"/>
        <v>0.3128870539663815</v>
      </c>
      <c r="F52" s="126">
        <f t="shared" si="10"/>
        <v>0.20713228557333152</v>
      </c>
      <c r="G52" s="126">
        <f t="shared" si="10"/>
        <v>0.46368057734546597</v>
      </c>
      <c r="H52" s="126">
        <f t="shared" si="10"/>
        <v>0.55290361812100941</v>
      </c>
      <c r="I52" s="126">
        <f t="shared" si="10"/>
        <v>0.57053364269141538</v>
      </c>
      <c r="J52" s="126">
        <f t="shared" si="10"/>
        <v>0.42080592726997801</v>
      </c>
      <c r="K52" s="126">
        <f t="shared" si="10"/>
        <v>0.16478325859491783</v>
      </c>
      <c r="N52" s="127">
        <f>(SUM(B52:K52))/10</f>
        <v>0.32873309922567229</v>
      </c>
      <c r="O52" s="127">
        <f>(O25/O26)-1</f>
        <v>0.32342741368983807</v>
      </c>
    </row>
    <row r="54" spans="1:15" x14ac:dyDescent="0.2">
      <c r="A54" t="s">
        <v>130</v>
      </c>
      <c r="B54" s="126">
        <f>(B45/B46)-1</f>
        <v>0.21434373901499049</v>
      </c>
      <c r="C54" s="126">
        <f t="shared" ref="C54:K54" si="11">(C45/C46)-1</f>
        <v>0.33072310984949582</v>
      </c>
      <c r="D54" s="126">
        <f t="shared" si="11"/>
        <v>0.19077445436438878</v>
      </c>
      <c r="E54" s="126">
        <f t="shared" si="11"/>
        <v>0.30253328302007754</v>
      </c>
      <c r="F54" s="126">
        <f t="shared" si="11"/>
        <v>0.13247343373953813</v>
      </c>
      <c r="G54" s="126">
        <f t="shared" si="11"/>
        <v>0.32151149625594488</v>
      </c>
      <c r="H54" s="126">
        <f t="shared" si="11"/>
        <v>0.49402763853591214</v>
      </c>
      <c r="I54" s="126">
        <f t="shared" si="11"/>
        <v>0.14662765581147941</v>
      </c>
      <c r="J54" s="126">
        <f t="shared" si="11"/>
        <v>0.30929971407518919</v>
      </c>
      <c r="K54" s="126">
        <f t="shared" si="11"/>
        <v>-6.8698960749779658E-2</v>
      </c>
      <c r="N54" s="127">
        <f>(SUM(B54:K54))/10</f>
        <v>0.23736155639172365</v>
      </c>
      <c r="O54" s="127">
        <f>(O35/O36)-1</f>
        <v>0.62705108708483492</v>
      </c>
    </row>
    <row r="56" spans="1:15" ht="15.75" x14ac:dyDescent="0.25">
      <c r="A56" s="85" t="s">
        <v>135</v>
      </c>
      <c r="F56" t="s">
        <v>149</v>
      </c>
      <c r="L56" s="130">
        <f>O31*N46</f>
        <v>326035.20892641915</v>
      </c>
    </row>
    <row r="57" spans="1:15" ht="15.75" x14ac:dyDescent="0.25">
      <c r="A57" s="85" t="s">
        <v>146</v>
      </c>
      <c r="F57" t="s">
        <v>150</v>
      </c>
      <c r="L57" s="130">
        <f>K65*O25</f>
        <v>168527.54841428867</v>
      </c>
    </row>
    <row r="58" spans="1:15" ht="15.75" x14ac:dyDescent="0.25">
      <c r="A58" s="85" t="s">
        <v>147</v>
      </c>
      <c r="G58" t="s">
        <v>148</v>
      </c>
      <c r="L58" s="131">
        <f>L60-L56-L57</f>
        <v>137544.24265929218</v>
      </c>
    </row>
    <row r="60" spans="1:15" ht="15.75" x14ac:dyDescent="0.25">
      <c r="G60" s="85" t="s">
        <v>136</v>
      </c>
      <c r="L60" s="132">
        <f>O41</f>
        <v>632107</v>
      </c>
    </row>
    <row r="62" spans="1:15" x14ac:dyDescent="0.2">
      <c r="B62" t="s">
        <v>144</v>
      </c>
      <c r="E62" s="139">
        <f>'all pages'!K82</f>
        <v>545756</v>
      </c>
      <c r="G62" t="s">
        <v>141</v>
      </c>
      <c r="I62" t="s">
        <v>142</v>
      </c>
      <c r="K62" s="141">
        <f>E62/O26</f>
        <v>4.0354927202951814</v>
      </c>
    </row>
    <row r="63" spans="1:15" x14ac:dyDescent="0.2">
      <c r="B63" t="s">
        <v>145</v>
      </c>
      <c r="E63" s="140">
        <f>'all pages'!K81</f>
        <v>890796</v>
      </c>
      <c r="I63" t="s">
        <v>143</v>
      </c>
      <c r="K63" s="141">
        <f>E63/O25</f>
        <v>4.9770978718173637</v>
      </c>
    </row>
    <row r="65" spans="11:11" x14ac:dyDescent="0.2">
      <c r="K65" s="141">
        <f>K63-K62</f>
        <v>0.94160515152218238</v>
      </c>
    </row>
  </sheetData>
  <phoneticPr fontId="12" type="noConversion"/>
  <pageMargins left="0.2" right="0.22" top="0.23" bottom="0.25" header="0.17" footer="0.25"/>
  <pageSetup scale="75" orientation="landscape" verticalDpi="300" r:id="rId1"/>
  <headerFooter alignWithMargins="0">
    <oddFooter>&amp;L&amp;"Arial,Italic"&amp;9H/Sandy/Recording/Monthly Recording Stats/&amp;D   &amp;T</oddFooter>
  </headerFooter>
  <rowBreaks count="1" manualBreakCount="1">
    <brk id="2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7"/>
  <sheetViews>
    <sheetView topLeftCell="A40" workbookViewId="0">
      <selection activeCell="J61" sqref="J61"/>
    </sheetView>
  </sheetViews>
  <sheetFormatPr defaultRowHeight="15" x14ac:dyDescent="0.2"/>
  <cols>
    <col min="3" max="3" width="10.88671875" customWidth="1"/>
    <col min="5" max="5" width="11.5546875" customWidth="1"/>
  </cols>
  <sheetData>
    <row r="1" spans="1:6" x14ac:dyDescent="0.2">
      <c r="A1" s="108" t="s">
        <v>116</v>
      </c>
      <c r="B1" s="108" t="s">
        <v>117</v>
      </c>
      <c r="C1" s="109" t="s">
        <v>118</v>
      </c>
      <c r="D1" s="109"/>
      <c r="E1" s="109" t="s">
        <v>119</v>
      </c>
      <c r="F1" s="108"/>
    </row>
    <row r="2" spans="1:6" x14ac:dyDescent="0.2">
      <c r="A2" s="110">
        <v>36161</v>
      </c>
      <c r="B2" s="108" t="s">
        <v>120</v>
      </c>
      <c r="C2" s="112">
        <v>-75672.5</v>
      </c>
      <c r="D2" s="112"/>
      <c r="E2" s="112">
        <f>C2</f>
        <v>-75672.5</v>
      </c>
      <c r="F2" s="108"/>
    </row>
    <row r="3" spans="1:6" x14ac:dyDescent="0.2">
      <c r="A3" s="110">
        <v>36192</v>
      </c>
      <c r="B3" s="108" t="s">
        <v>120</v>
      </c>
      <c r="C3" s="112">
        <v>-81807.149999999994</v>
      </c>
      <c r="D3" s="112"/>
      <c r="E3" s="112">
        <f>C3+E2</f>
        <v>-157479.65</v>
      </c>
      <c r="F3" s="108"/>
    </row>
    <row r="4" spans="1:6" x14ac:dyDescent="0.2">
      <c r="A4" s="110">
        <v>36220</v>
      </c>
      <c r="B4" s="108" t="s">
        <v>120</v>
      </c>
      <c r="C4" s="112">
        <v>-88764.9</v>
      </c>
      <c r="D4" s="112"/>
      <c r="E4" s="112">
        <f t="shared" ref="E4:E14" si="0">C4+E3</f>
        <v>-246244.55</v>
      </c>
      <c r="F4" s="108"/>
    </row>
    <row r="5" spans="1:6" x14ac:dyDescent="0.2">
      <c r="A5" s="110">
        <v>36251</v>
      </c>
      <c r="B5" s="108" t="s">
        <v>120</v>
      </c>
      <c r="C5" s="112">
        <v>-87755.75</v>
      </c>
      <c r="D5" s="112"/>
      <c r="E5" s="112">
        <f t="shared" si="0"/>
        <v>-334000.3</v>
      </c>
      <c r="F5" s="108"/>
    </row>
    <row r="6" spans="1:6" x14ac:dyDescent="0.2">
      <c r="A6" s="110">
        <v>36281</v>
      </c>
      <c r="B6" s="108" t="s">
        <v>120</v>
      </c>
      <c r="C6" s="112">
        <v>-82353.97</v>
      </c>
      <c r="D6" s="112"/>
      <c r="E6" s="112">
        <f t="shared" si="0"/>
        <v>-416354.27</v>
      </c>
      <c r="F6" s="108"/>
    </row>
    <row r="7" spans="1:6" x14ac:dyDescent="0.2">
      <c r="A7" s="110">
        <v>36312</v>
      </c>
      <c r="B7" s="108" t="s">
        <v>120</v>
      </c>
      <c r="C7" s="112">
        <v>-78732.100000000006</v>
      </c>
      <c r="D7" s="112"/>
      <c r="E7" s="112">
        <f t="shared" si="0"/>
        <v>-495086.37</v>
      </c>
      <c r="F7" s="108"/>
    </row>
    <row r="8" spans="1:6" x14ac:dyDescent="0.2">
      <c r="A8" s="110">
        <v>36342</v>
      </c>
      <c r="B8" s="108" t="s">
        <v>120</v>
      </c>
      <c r="C8" s="112">
        <v>-76226</v>
      </c>
      <c r="D8" s="112"/>
      <c r="E8" s="112">
        <f t="shared" si="0"/>
        <v>-571312.37</v>
      </c>
      <c r="F8" s="108"/>
    </row>
    <row r="9" spans="1:6" x14ac:dyDescent="0.2">
      <c r="A9" s="110">
        <v>36373</v>
      </c>
      <c r="B9" s="108" t="s">
        <v>120</v>
      </c>
      <c r="C9" s="112">
        <v>-62725.2</v>
      </c>
      <c r="D9" s="112"/>
      <c r="E9" s="112">
        <f t="shared" si="0"/>
        <v>-634037.56999999995</v>
      </c>
      <c r="F9" s="108"/>
    </row>
    <row r="10" spans="1:6" x14ac:dyDescent="0.2">
      <c r="A10" s="110">
        <v>36404</v>
      </c>
      <c r="B10" s="108" t="s">
        <v>120</v>
      </c>
      <c r="C10" s="112">
        <v>-68460.2</v>
      </c>
      <c r="D10" s="112"/>
      <c r="E10" s="112">
        <f t="shared" si="0"/>
        <v>-702497.7699999999</v>
      </c>
      <c r="F10" s="108"/>
    </row>
    <row r="11" spans="1:6" x14ac:dyDescent="0.2">
      <c r="A11" s="110">
        <v>36434</v>
      </c>
      <c r="B11" s="108" t="s">
        <v>120</v>
      </c>
      <c r="C11" s="112">
        <v>-60430.5</v>
      </c>
      <c r="D11" s="112"/>
      <c r="E11" s="112">
        <f t="shared" si="0"/>
        <v>-762928.2699999999</v>
      </c>
      <c r="F11" s="108"/>
    </row>
    <row r="12" spans="1:6" x14ac:dyDescent="0.2">
      <c r="A12" s="110">
        <v>36465</v>
      </c>
      <c r="B12" s="108" t="s">
        <v>120</v>
      </c>
      <c r="C12" s="112">
        <v>-61761.599999999999</v>
      </c>
      <c r="D12" s="112"/>
      <c r="E12" s="112">
        <f t="shared" si="0"/>
        <v>-824689.86999999988</v>
      </c>
      <c r="F12" s="108"/>
    </row>
    <row r="13" spans="1:6" x14ac:dyDescent="0.2">
      <c r="A13" s="110">
        <v>36495</v>
      </c>
      <c r="B13" s="108" t="s">
        <v>120</v>
      </c>
      <c r="C13" s="112">
        <v>-64510.54</v>
      </c>
      <c r="D13" s="112"/>
      <c r="E13" s="112">
        <f t="shared" si="0"/>
        <v>-889200.40999999992</v>
      </c>
      <c r="F13" s="108"/>
    </row>
    <row r="14" spans="1:6" ht="15.75" thickBot="1" x14ac:dyDescent="0.25">
      <c r="A14" s="121" t="s">
        <v>121</v>
      </c>
      <c r="B14" s="121" t="s">
        <v>120</v>
      </c>
      <c r="C14" s="122">
        <v>0</v>
      </c>
      <c r="D14" s="122"/>
      <c r="E14" s="122">
        <f t="shared" si="0"/>
        <v>-889200.40999999992</v>
      </c>
      <c r="F14" s="108"/>
    </row>
    <row r="15" spans="1:6" x14ac:dyDescent="0.2">
      <c r="A15" s="110">
        <v>36526</v>
      </c>
      <c r="B15" s="108" t="s">
        <v>120</v>
      </c>
      <c r="C15" s="112">
        <v>-51114</v>
      </c>
      <c r="D15" s="112"/>
      <c r="E15" s="112">
        <f>C15</f>
        <v>-51114</v>
      </c>
      <c r="F15" s="108"/>
    </row>
    <row r="16" spans="1:6" x14ac:dyDescent="0.2">
      <c r="A16" s="110">
        <v>36557</v>
      </c>
      <c r="B16" s="108" t="s">
        <v>120</v>
      </c>
      <c r="C16" s="112">
        <v>-48410.8</v>
      </c>
      <c r="D16" s="112"/>
      <c r="E16" s="112">
        <f>C16+E15</f>
        <v>-99524.800000000003</v>
      </c>
      <c r="F16" s="108"/>
    </row>
    <row r="17" spans="1:6" x14ac:dyDescent="0.2">
      <c r="A17" s="110">
        <v>36586</v>
      </c>
      <c r="B17" s="108" t="s">
        <v>120</v>
      </c>
      <c r="C17" s="112">
        <v>-64982.16</v>
      </c>
      <c r="D17" s="112"/>
      <c r="E17" s="112">
        <f t="shared" ref="E17:E27" si="1">C17+E16</f>
        <v>-164506.96000000002</v>
      </c>
      <c r="F17" s="108"/>
    </row>
    <row r="18" spans="1:6" x14ac:dyDescent="0.2">
      <c r="A18" s="110">
        <v>36617</v>
      </c>
      <c r="B18" s="108" t="s">
        <v>120</v>
      </c>
      <c r="C18" s="112">
        <v>-55508.95</v>
      </c>
      <c r="D18" s="112"/>
      <c r="E18" s="112">
        <f t="shared" si="1"/>
        <v>-220015.91000000003</v>
      </c>
      <c r="F18" s="108"/>
    </row>
    <row r="19" spans="1:6" x14ac:dyDescent="0.2">
      <c r="A19" s="110">
        <v>36647</v>
      </c>
      <c r="B19" s="108" t="s">
        <v>120</v>
      </c>
      <c r="C19" s="112">
        <v>-54550.57</v>
      </c>
      <c r="D19" s="112"/>
      <c r="E19" s="112">
        <f t="shared" si="1"/>
        <v>-274566.48000000004</v>
      </c>
      <c r="F19" s="108"/>
    </row>
    <row r="20" spans="1:6" x14ac:dyDescent="0.2">
      <c r="A20" s="110">
        <v>36678</v>
      </c>
      <c r="B20" s="108" t="s">
        <v>120</v>
      </c>
      <c r="C20" s="112">
        <v>-67425.53</v>
      </c>
      <c r="D20" s="112"/>
      <c r="E20" s="112">
        <f t="shared" si="1"/>
        <v>-341992.01</v>
      </c>
      <c r="F20" s="108"/>
    </row>
    <row r="21" spans="1:6" x14ac:dyDescent="0.2">
      <c r="A21" s="110">
        <v>36708</v>
      </c>
      <c r="B21" s="108" t="s">
        <v>120</v>
      </c>
      <c r="C21" s="112">
        <v>-53466.29</v>
      </c>
      <c r="D21" s="112"/>
      <c r="E21" s="112">
        <f t="shared" si="1"/>
        <v>-395458.3</v>
      </c>
      <c r="F21" s="108"/>
    </row>
    <row r="22" spans="1:6" x14ac:dyDescent="0.2">
      <c r="A22" s="110">
        <v>36739</v>
      </c>
      <c r="B22" s="108" t="s">
        <v>120</v>
      </c>
      <c r="C22" s="112">
        <v>-63722.11</v>
      </c>
      <c r="D22" s="112"/>
      <c r="E22" s="112">
        <f t="shared" si="1"/>
        <v>-459180.41</v>
      </c>
      <c r="F22" s="108"/>
    </row>
    <row r="23" spans="1:6" x14ac:dyDescent="0.2">
      <c r="A23" s="110">
        <v>36770</v>
      </c>
      <c r="B23" s="108" t="s">
        <v>120</v>
      </c>
      <c r="C23" s="112">
        <v>-52739</v>
      </c>
      <c r="D23" s="112"/>
      <c r="E23" s="112">
        <f t="shared" si="1"/>
        <v>-511919.41</v>
      </c>
      <c r="F23" s="108"/>
    </row>
    <row r="24" spans="1:6" x14ac:dyDescent="0.2">
      <c r="A24" s="110">
        <v>36800</v>
      </c>
      <c r="B24" s="108" t="s">
        <v>120</v>
      </c>
      <c r="C24" s="112">
        <v>-56004.26</v>
      </c>
      <c r="D24" s="112"/>
      <c r="E24" s="112">
        <f t="shared" si="1"/>
        <v>-567923.66999999993</v>
      </c>
      <c r="F24" s="108"/>
    </row>
    <row r="25" spans="1:6" x14ac:dyDescent="0.2">
      <c r="A25" s="110">
        <v>36831</v>
      </c>
      <c r="B25" s="108" t="s">
        <v>120</v>
      </c>
      <c r="C25" s="112">
        <v>-56695.05</v>
      </c>
      <c r="D25" s="112"/>
      <c r="E25" s="112">
        <f t="shared" si="1"/>
        <v>-624618.72</v>
      </c>
      <c r="F25" s="108"/>
    </row>
    <row r="26" spans="1:6" x14ac:dyDescent="0.2">
      <c r="A26" s="110">
        <v>36861</v>
      </c>
      <c r="B26" s="108" t="s">
        <v>120</v>
      </c>
      <c r="C26" s="112">
        <v>-53506.6</v>
      </c>
      <c r="D26" s="112"/>
      <c r="E26" s="112">
        <f t="shared" si="1"/>
        <v>-678125.32</v>
      </c>
      <c r="F26" s="108"/>
    </row>
    <row r="27" spans="1:6" ht="15.75" thickBot="1" x14ac:dyDescent="0.25">
      <c r="A27" s="108" t="s">
        <v>122</v>
      </c>
      <c r="B27" s="108" t="s">
        <v>120</v>
      </c>
      <c r="C27" s="112">
        <v>0</v>
      </c>
      <c r="D27" s="112"/>
      <c r="E27" s="122">
        <f t="shared" si="1"/>
        <v>-678125.32</v>
      </c>
      <c r="F27" s="108"/>
    </row>
    <row r="28" spans="1:6" x14ac:dyDescent="0.2">
      <c r="A28" s="111">
        <v>37622</v>
      </c>
      <c r="B28" s="108" t="s">
        <v>120</v>
      </c>
      <c r="C28" s="112">
        <v>-59706.52</v>
      </c>
      <c r="D28" s="112"/>
      <c r="E28" s="112">
        <f>C28</f>
        <v>-59706.52</v>
      </c>
      <c r="F28" s="108"/>
    </row>
    <row r="29" spans="1:6" x14ac:dyDescent="0.2">
      <c r="A29" s="111">
        <v>37653</v>
      </c>
      <c r="B29" s="108" t="s">
        <v>120</v>
      </c>
      <c r="C29" s="112">
        <v>-59106.3</v>
      </c>
      <c r="D29" s="112"/>
      <c r="E29" s="112">
        <f>C29+E28</f>
        <v>-118812.82</v>
      </c>
      <c r="F29" s="108"/>
    </row>
    <row r="30" spans="1:6" x14ac:dyDescent="0.2">
      <c r="A30" s="111">
        <v>37681</v>
      </c>
      <c r="B30" s="108" t="s">
        <v>120</v>
      </c>
      <c r="C30" s="112">
        <v>-81701.95</v>
      </c>
      <c r="D30" s="112"/>
      <c r="E30" s="112">
        <f t="shared" ref="E30:E40" si="2">C30+E29</f>
        <v>-200514.77000000002</v>
      </c>
      <c r="F30" s="108"/>
    </row>
    <row r="31" spans="1:6" x14ac:dyDescent="0.2">
      <c r="A31" s="111">
        <v>37712</v>
      </c>
      <c r="B31" s="108" t="s">
        <v>120</v>
      </c>
      <c r="C31" s="112">
        <v>-83279.399999999994</v>
      </c>
      <c r="D31" s="112"/>
      <c r="E31" s="112">
        <f t="shared" si="2"/>
        <v>-283794.17000000004</v>
      </c>
      <c r="F31" s="108"/>
    </row>
    <row r="32" spans="1:6" x14ac:dyDescent="0.2">
      <c r="A32" s="111">
        <v>37742</v>
      </c>
      <c r="B32" s="108" t="s">
        <v>120</v>
      </c>
      <c r="C32" s="112">
        <v>-93314.4</v>
      </c>
      <c r="D32" s="112"/>
      <c r="E32" s="112">
        <f t="shared" si="2"/>
        <v>-377108.57000000007</v>
      </c>
      <c r="F32" s="108"/>
    </row>
    <row r="33" spans="1:6" x14ac:dyDescent="0.2">
      <c r="A33" s="111">
        <v>37773</v>
      </c>
      <c r="B33" s="108" t="s">
        <v>120</v>
      </c>
      <c r="C33" s="112">
        <v>-108441.60000000001</v>
      </c>
      <c r="D33" s="112"/>
      <c r="E33" s="112">
        <f t="shared" si="2"/>
        <v>-485550.17000000004</v>
      </c>
      <c r="F33" s="108"/>
    </row>
    <row r="34" spans="1:6" x14ac:dyDescent="0.2">
      <c r="A34" s="111">
        <v>37803</v>
      </c>
      <c r="B34" s="108" t="s">
        <v>120</v>
      </c>
      <c r="C34" s="112">
        <v>-89584.12</v>
      </c>
      <c r="D34" s="112"/>
      <c r="E34" s="112">
        <f t="shared" si="2"/>
        <v>-575134.29</v>
      </c>
      <c r="F34" s="108"/>
    </row>
    <row r="35" spans="1:6" x14ac:dyDescent="0.2">
      <c r="A35" s="111">
        <v>37834</v>
      </c>
      <c r="B35" s="108" t="s">
        <v>120</v>
      </c>
      <c r="C35" s="112">
        <v>-97851.97</v>
      </c>
      <c r="D35" s="112"/>
      <c r="E35" s="112">
        <f t="shared" si="2"/>
        <v>-672986.26</v>
      </c>
      <c r="F35" s="108"/>
    </row>
    <row r="36" spans="1:6" x14ac:dyDescent="0.2">
      <c r="A36" s="111">
        <v>37865</v>
      </c>
      <c r="B36" s="108" t="s">
        <v>120</v>
      </c>
      <c r="C36" s="112">
        <v>-80686.5</v>
      </c>
      <c r="D36" s="112"/>
      <c r="E36" s="112">
        <f t="shared" si="2"/>
        <v>-753672.76</v>
      </c>
      <c r="F36" s="108"/>
    </row>
    <row r="37" spans="1:6" x14ac:dyDescent="0.2">
      <c r="A37" s="111">
        <v>37895</v>
      </c>
      <c r="B37" s="108" t="s">
        <v>120</v>
      </c>
      <c r="C37" s="112">
        <v>-100475.97</v>
      </c>
      <c r="D37" s="112"/>
      <c r="E37" s="112">
        <f t="shared" si="2"/>
        <v>-854148.73</v>
      </c>
      <c r="F37" s="108"/>
    </row>
    <row r="38" spans="1:6" x14ac:dyDescent="0.2">
      <c r="A38" s="111">
        <v>37926</v>
      </c>
      <c r="B38" s="108" t="s">
        <v>120</v>
      </c>
      <c r="C38" s="112">
        <v>-100712.2</v>
      </c>
      <c r="D38" s="112"/>
      <c r="E38" s="112">
        <f t="shared" si="2"/>
        <v>-954860.92999999993</v>
      </c>
      <c r="F38" s="108"/>
    </row>
    <row r="39" spans="1:6" x14ac:dyDescent="0.2">
      <c r="A39" s="111">
        <v>37956</v>
      </c>
      <c r="B39" s="108" t="s">
        <v>120</v>
      </c>
      <c r="C39" s="112">
        <v>-120346</v>
      </c>
      <c r="D39" s="112"/>
      <c r="E39" s="112">
        <f t="shared" si="2"/>
        <v>-1075206.93</v>
      </c>
      <c r="F39" s="108"/>
    </row>
    <row r="40" spans="1:6" ht="15.75" thickBot="1" x14ac:dyDescent="0.25">
      <c r="A40" s="108" t="s">
        <v>123</v>
      </c>
      <c r="B40" s="108" t="s">
        <v>120</v>
      </c>
      <c r="C40" s="112">
        <v>0</v>
      </c>
      <c r="D40" s="112"/>
      <c r="E40" s="122">
        <f t="shared" si="2"/>
        <v>-1075206.93</v>
      </c>
      <c r="F40" s="108"/>
    </row>
    <row r="41" spans="1:6" x14ac:dyDescent="0.2">
      <c r="A41" s="111">
        <v>37623</v>
      </c>
      <c r="B41" s="108" t="s">
        <v>120</v>
      </c>
      <c r="C41" s="112">
        <v>-89059</v>
      </c>
      <c r="D41" s="112"/>
      <c r="E41" s="112">
        <f>C41</f>
        <v>-89059</v>
      </c>
      <c r="F41" s="108"/>
    </row>
    <row r="42" spans="1:6" x14ac:dyDescent="0.2">
      <c r="A42" s="111">
        <v>37654</v>
      </c>
      <c r="B42" s="108" t="s">
        <v>120</v>
      </c>
      <c r="C42" s="112">
        <v>-88473.5</v>
      </c>
      <c r="D42" s="112"/>
      <c r="E42" s="112">
        <f>C42+E41</f>
        <v>-177532.5</v>
      </c>
      <c r="F42" s="108"/>
    </row>
    <row r="43" spans="1:6" x14ac:dyDescent="0.2">
      <c r="A43" s="111">
        <v>37682</v>
      </c>
      <c r="B43" s="108" t="s">
        <v>120</v>
      </c>
      <c r="C43" s="112">
        <v>-97471.5</v>
      </c>
      <c r="D43" s="112"/>
      <c r="E43" s="112">
        <f t="shared" ref="E43:E53" si="3">C43+E42</f>
        <v>-275004</v>
      </c>
      <c r="F43" s="108"/>
    </row>
    <row r="44" spans="1:6" x14ac:dyDescent="0.2">
      <c r="A44" s="111">
        <v>37713</v>
      </c>
      <c r="B44" s="108" t="s">
        <v>120</v>
      </c>
      <c r="C44" s="112">
        <v>-101030.5</v>
      </c>
      <c r="D44" s="112"/>
      <c r="E44" s="112">
        <f t="shared" si="3"/>
        <v>-376034.5</v>
      </c>
      <c r="F44" s="108"/>
    </row>
    <row r="45" spans="1:6" x14ac:dyDescent="0.2">
      <c r="A45" s="111">
        <v>37743</v>
      </c>
      <c r="B45" s="108" t="s">
        <v>120</v>
      </c>
      <c r="C45" s="112">
        <v>-102753.5</v>
      </c>
      <c r="D45" s="112"/>
      <c r="E45" s="112">
        <f t="shared" si="3"/>
        <v>-478788</v>
      </c>
      <c r="F45" s="108"/>
    </row>
    <row r="46" spans="1:6" x14ac:dyDescent="0.2">
      <c r="A46" s="111">
        <v>37774</v>
      </c>
      <c r="B46" s="108" t="s">
        <v>120</v>
      </c>
      <c r="C46" s="112">
        <v>-88544.8</v>
      </c>
      <c r="D46" s="112"/>
      <c r="E46" s="112">
        <f t="shared" si="3"/>
        <v>-567332.80000000005</v>
      </c>
      <c r="F46" s="108"/>
    </row>
    <row r="47" spans="1:6" x14ac:dyDescent="0.2">
      <c r="A47" s="111">
        <v>37804</v>
      </c>
      <c r="B47" s="108" t="s">
        <v>120</v>
      </c>
      <c r="C47" s="112">
        <v>-96384.5</v>
      </c>
      <c r="D47" s="112"/>
      <c r="E47" s="112">
        <f t="shared" si="3"/>
        <v>-663717.30000000005</v>
      </c>
      <c r="F47" s="108"/>
    </row>
    <row r="48" spans="1:6" x14ac:dyDescent="0.2">
      <c r="A48" s="111">
        <v>37835</v>
      </c>
      <c r="B48" s="108" t="s">
        <v>120</v>
      </c>
      <c r="C48" s="112">
        <v>-103020.5</v>
      </c>
      <c r="D48" s="112"/>
      <c r="E48" s="112">
        <f t="shared" si="3"/>
        <v>-766737.8</v>
      </c>
      <c r="F48" s="108"/>
    </row>
    <row r="49" spans="1:6" x14ac:dyDescent="0.2">
      <c r="A49" s="111">
        <v>37866</v>
      </c>
      <c r="B49" s="108" t="s">
        <v>120</v>
      </c>
      <c r="C49" s="112">
        <v>-97088.5</v>
      </c>
      <c r="D49" s="112"/>
      <c r="E49" s="112">
        <f t="shared" si="3"/>
        <v>-863826.3</v>
      </c>
      <c r="F49" s="108"/>
    </row>
    <row r="50" spans="1:6" x14ac:dyDescent="0.2">
      <c r="A50" s="111">
        <v>37896</v>
      </c>
      <c r="B50" s="108" t="s">
        <v>120</v>
      </c>
      <c r="C50" s="112">
        <v>-144236.29999999999</v>
      </c>
      <c r="D50" s="112"/>
      <c r="E50" s="112">
        <f t="shared" si="3"/>
        <v>-1008062.6000000001</v>
      </c>
      <c r="F50" s="108"/>
    </row>
    <row r="51" spans="1:6" x14ac:dyDescent="0.2">
      <c r="A51" s="111">
        <v>37927</v>
      </c>
      <c r="B51" s="108" t="s">
        <v>120</v>
      </c>
      <c r="C51" s="112">
        <v>-122492</v>
      </c>
      <c r="D51" s="112"/>
      <c r="E51" s="112">
        <f t="shared" si="3"/>
        <v>-1130554.6000000001</v>
      </c>
      <c r="F51" s="108"/>
    </row>
    <row r="52" spans="1:6" x14ac:dyDescent="0.2">
      <c r="A52" s="111">
        <v>37957</v>
      </c>
      <c r="B52" s="108" t="s">
        <v>120</v>
      </c>
      <c r="C52" s="112">
        <v>-168361.5</v>
      </c>
      <c r="D52" s="112"/>
      <c r="E52" s="112">
        <f t="shared" si="3"/>
        <v>-1298916.1000000001</v>
      </c>
      <c r="F52" s="108"/>
    </row>
    <row r="53" spans="1:6" ht="15.75" thickBot="1" x14ac:dyDescent="0.25">
      <c r="A53" s="108" t="s">
        <v>124</v>
      </c>
      <c r="B53" s="108" t="s">
        <v>120</v>
      </c>
      <c r="C53" s="112">
        <v>0</v>
      </c>
      <c r="D53" s="112"/>
      <c r="E53" s="122">
        <f t="shared" si="3"/>
        <v>-1298916.1000000001</v>
      </c>
      <c r="F53" s="108"/>
    </row>
    <row r="54" spans="1:6" x14ac:dyDescent="0.2">
      <c r="A54" s="111">
        <v>37624</v>
      </c>
      <c r="B54" s="108" t="s">
        <v>120</v>
      </c>
      <c r="C54" s="112">
        <v>-131854.5</v>
      </c>
      <c r="D54" s="112"/>
      <c r="E54" s="112">
        <f>C54</f>
        <v>-131854.5</v>
      </c>
      <c r="F54" s="108"/>
    </row>
    <row r="55" spans="1:6" x14ac:dyDescent="0.2">
      <c r="A55" s="111">
        <v>37655</v>
      </c>
      <c r="B55" s="108" t="s">
        <v>120</v>
      </c>
      <c r="C55" s="112">
        <v>-133304</v>
      </c>
      <c r="D55" s="112"/>
      <c r="E55" s="112">
        <f>C55+E54</f>
        <v>-265158.5</v>
      </c>
      <c r="F55" s="108"/>
    </row>
    <row r="56" spans="1:6" x14ac:dyDescent="0.2">
      <c r="A56" s="111">
        <v>37683</v>
      </c>
      <c r="B56" s="108" t="s">
        <v>120</v>
      </c>
      <c r="C56" s="112">
        <v>-144287.85</v>
      </c>
      <c r="D56" s="112"/>
      <c r="E56" s="112">
        <f t="shared" ref="E56:E63" si="4">C56+E55</f>
        <v>-409446.35</v>
      </c>
      <c r="F56" s="108"/>
    </row>
    <row r="57" spans="1:6" x14ac:dyDescent="0.2">
      <c r="A57" s="111">
        <v>37714</v>
      </c>
      <c r="B57" s="108" t="s">
        <v>120</v>
      </c>
      <c r="C57" s="112">
        <v>-172771.07</v>
      </c>
      <c r="D57" s="112"/>
      <c r="E57" s="112">
        <f t="shared" si="4"/>
        <v>-582217.41999999993</v>
      </c>
      <c r="F57" s="108"/>
    </row>
    <row r="58" spans="1:6" x14ac:dyDescent="0.2">
      <c r="A58" s="111">
        <v>37744</v>
      </c>
      <c r="B58" s="108" t="s">
        <v>120</v>
      </c>
      <c r="C58" s="112">
        <v>-140468</v>
      </c>
      <c r="D58" s="112"/>
      <c r="E58" s="112">
        <f t="shared" si="4"/>
        <v>-722685.41999999993</v>
      </c>
      <c r="F58" s="108"/>
    </row>
    <row r="59" spans="1:6" x14ac:dyDescent="0.2">
      <c r="A59" s="111">
        <v>37775</v>
      </c>
      <c r="B59" s="108" t="s">
        <v>120</v>
      </c>
      <c r="C59" s="112">
        <v>-171270.43</v>
      </c>
      <c r="D59" s="112"/>
      <c r="E59" s="112">
        <f t="shared" si="4"/>
        <v>-893955.84999999986</v>
      </c>
      <c r="F59" s="108"/>
    </row>
    <row r="60" spans="1:6" x14ac:dyDescent="0.2">
      <c r="A60" s="111">
        <v>37805</v>
      </c>
      <c r="B60" s="108" t="s">
        <v>120</v>
      </c>
      <c r="C60" s="112">
        <v>-223620.93</v>
      </c>
      <c r="D60" s="112"/>
      <c r="E60" s="112">
        <f t="shared" si="4"/>
        <v>-1117576.7799999998</v>
      </c>
      <c r="F60" s="108"/>
    </row>
    <row r="61" spans="1:6" x14ac:dyDescent="0.2">
      <c r="A61" s="111">
        <v>37836</v>
      </c>
      <c r="B61" s="108" t="s">
        <v>120</v>
      </c>
      <c r="C61" s="112">
        <v>-185521.5</v>
      </c>
      <c r="D61" s="112"/>
      <c r="E61" s="112">
        <f t="shared" si="4"/>
        <v>-1303098.2799999998</v>
      </c>
      <c r="F61" s="108"/>
    </row>
    <row r="62" spans="1:6" x14ac:dyDescent="0.2">
      <c r="A62" s="111">
        <v>37867</v>
      </c>
      <c r="B62" s="108" t="s">
        <v>120</v>
      </c>
      <c r="C62" s="112">
        <v>-180608.5</v>
      </c>
      <c r="D62" s="112"/>
      <c r="E62" s="112">
        <f t="shared" si="4"/>
        <v>-1483706.7799999998</v>
      </c>
      <c r="F62" s="108"/>
    </row>
    <row r="63" spans="1:6" x14ac:dyDescent="0.2">
      <c r="A63" s="111">
        <v>37897</v>
      </c>
      <c r="B63" s="108" t="s">
        <v>120</v>
      </c>
      <c r="C63" s="112">
        <v>-156462.5</v>
      </c>
      <c r="D63" s="112"/>
      <c r="E63" s="112">
        <f t="shared" si="4"/>
        <v>-1640169.2799999998</v>
      </c>
      <c r="F63" s="108"/>
    </row>
    <row r="64" spans="1:6" x14ac:dyDescent="0.2">
      <c r="A64" s="111"/>
      <c r="B64" s="108"/>
      <c r="C64" s="112"/>
      <c r="D64" s="112"/>
      <c r="E64" s="124"/>
      <c r="F64" s="108"/>
    </row>
    <row r="65" spans="5:5" x14ac:dyDescent="0.2">
      <c r="E65" s="124"/>
    </row>
    <row r="66" spans="5:5" x14ac:dyDescent="0.2">
      <c r="E66" s="124"/>
    </row>
    <row r="67" spans="5:5" x14ac:dyDescent="0.2">
      <c r="E67" s="19"/>
    </row>
  </sheetData>
  <phoneticPr fontId="12" type="noConversion"/>
  <pageMargins left="0.75" right="0.75" top="0.25" bottom="0.21" header="0.25" footer="0.27"/>
  <pageSetup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Multiples</vt:lpstr>
      <vt:lpstr>Doc excl. Marriage</vt:lpstr>
      <vt:lpstr>Marriage</vt:lpstr>
      <vt:lpstr>all pages</vt:lpstr>
      <vt:lpstr>avg. pages</vt:lpstr>
      <vt:lpstr>old stats</vt:lpstr>
      <vt:lpstr>total Doc - rev</vt:lpstr>
      <vt:lpstr>REV</vt:lpstr>
      <vt:lpstr>Sheet1</vt:lpstr>
      <vt:lpstr>'Doc excl. Marriage'!Print_Area</vt:lpstr>
      <vt:lpstr>Marriage!Print_Area</vt:lpstr>
      <vt:lpstr>Multiples!Print_Area</vt:lpstr>
      <vt:lpstr>Print_Area</vt:lpstr>
    </vt:vector>
  </TitlesOfParts>
  <Company>Clark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Harris</dc:creator>
  <cp:lastModifiedBy>Huffman, Charlene</cp:lastModifiedBy>
  <cp:lastPrinted>2020-05-05T18:22:29Z</cp:lastPrinted>
  <dcterms:created xsi:type="dcterms:W3CDTF">2000-02-04T17:04:26Z</dcterms:created>
  <dcterms:modified xsi:type="dcterms:W3CDTF">2020-09-01T15:55:07Z</dcterms:modified>
</cp:coreProperties>
</file>